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rketing\Banking\CECL\2020\Toolkit\Formatted\"/>
    </mc:Choice>
  </mc:AlternateContent>
  <workbookProtection workbookAlgorithmName="SHA-512" workbookHashValue="DUHwI65UK7kpdGJHxj8pCPWpDR6/WFOq7sEVtu7GRsNQiHm6GcTLpIdexh68c64FIjbZlzD3iFKWDDJq2TK55w==" workbookSaltValue="OqRZfayDHlDD/ADORkWxZA==" workbookSpinCount="100000" lockStructure="1"/>
  <bookViews>
    <workbookView xWindow="45" yWindow="315" windowWidth="13710" windowHeight="8220" tabRatio="803"/>
  </bookViews>
  <sheets>
    <sheet name="Example Calculation" sheetId="14" r:id="rId1"/>
  </sheets>
  <definedNames>
    <definedName name="_xlnm.Print_Area" localSheetId="0">'Example Calculation'!$A$1:$L$104</definedName>
  </definedNames>
  <calcPr calcId="162913"/>
</workbook>
</file>

<file path=xl/calcChain.xml><?xml version="1.0" encoding="utf-8"?>
<calcChain xmlns="http://schemas.openxmlformats.org/spreadsheetml/2006/main">
  <c r="B77" i="14" l="1"/>
  <c r="B76" i="14"/>
  <c r="B75" i="14"/>
  <c r="B74" i="14"/>
  <c r="B73" i="14"/>
  <c r="K100" i="14"/>
  <c r="K99" i="14"/>
  <c r="K98" i="14"/>
  <c r="J98" i="14"/>
  <c r="B103" i="14"/>
  <c r="B102" i="14"/>
  <c r="K103" i="14" l="1"/>
  <c r="K102" i="14"/>
  <c r="K101" i="14"/>
  <c r="J103" i="14"/>
  <c r="A73" i="14" l="1"/>
  <c r="A74" i="14" s="1"/>
  <c r="A75" i="14" s="1"/>
  <c r="A76" i="14" s="1"/>
  <c r="A77" i="14" s="1"/>
  <c r="A78" i="14" s="1"/>
  <c r="J99" i="14" l="1"/>
  <c r="J100" i="14"/>
  <c r="J101" i="14"/>
  <c r="J102" i="14"/>
  <c r="J97" i="14"/>
  <c r="L101" i="14"/>
  <c r="L103" i="14"/>
  <c r="J93" i="14"/>
  <c r="J94" i="14"/>
  <c r="J95" i="14"/>
  <c r="J96" i="14"/>
  <c r="K97" i="14"/>
  <c r="L97" i="14" s="1"/>
  <c r="A102" i="14"/>
  <c r="A101" i="14" s="1"/>
  <c r="A100" i="14" s="1"/>
  <c r="A99" i="14" s="1"/>
  <c r="A98" i="14" s="1"/>
  <c r="A97" i="14" s="1"/>
  <c r="A96" i="14" s="1"/>
  <c r="A95" i="14" s="1"/>
  <c r="A94" i="14" s="1"/>
  <c r="A93" i="14" s="1"/>
  <c r="L102" i="14" l="1"/>
  <c r="L100" i="14"/>
  <c r="L99" i="14"/>
  <c r="C79" i="14" l="1"/>
  <c r="C81" i="14" s="1"/>
  <c r="A59" i="14" s="1"/>
  <c r="L59" i="14" s="1"/>
  <c r="E36" i="14"/>
  <c r="E35" i="14"/>
  <c r="E33" i="14"/>
  <c r="E29" i="14"/>
  <c r="E26" i="14"/>
  <c r="E20" i="14"/>
  <c r="E19" i="14"/>
  <c r="E17" i="14"/>
  <c r="E16" i="14"/>
  <c r="E12" i="14"/>
  <c r="E11" i="14"/>
  <c r="E9" i="14"/>
  <c r="E6" i="14"/>
  <c r="E5" i="14"/>
  <c r="C32" i="14"/>
  <c r="E32" i="14" s="1"/>
  <c r="C28" i="14"/>
  <c r="E28" i="14" s="1"/>
  <c r="C25" i="14"/>
  <c r="D8" i="14" l="1"/>
  <c r="E8" i="14" s="1"/>
  <c r="C38" i="14"/>
  <c r="E25" i="14"/>
  <c r="E38" i="14" l="1"/>
  <c r="C45" i="14"/>
  <c r="C49" i="14" s="1"/>
  <c r="E45" i="14" l="1"/>
  <c r="E49" i="14" s="1"/>
  <c r="L98" i="14"/>
  <c r="L104" i="14" s="1"/>
</calcChain>
</file>

<file path=xl/sharedStrings.xml><?xml version="1.0" encoding="utf-8"?>
<sst xmlns="http://schemas.openxmlformats.org/spreadsheetml/2006/main" count="142" uniqueCount="120">
  <si>
    <t>Reserve</t>
  </si>
  <si>
    <t xml:space="preserve">Portfolio </t>
  </si>
  <si>
    <t>Underwriting</t>
  </si>
  <si>
    <t>Economic</t>
  </si>
  <si>
    <t>Review</t>
  </si>
  <si>
    <t>Substandard</t>
  </si>
  <si>
    <t>Growth Trend</t>
  </si>
  <si>
    <t>Criteria</t>
  </si>
  <si>
    <t>Experience</t>
  </si>
  <si>
    <t>Conditions</t>
  </si>
  <si>
    <t>Values</t>
  </si>
  <si>
    <t>Accuracy</t>
  </si>
  <si>
    <t>Factor</t>
  </si>
  <si>
    <t>Total</t>
  </si>
  <si>
    <t>D</t>
  </si>
  <si>
    <t>Indirect</t>
  </si>
  <si>
    <t>Reserve %</t>
  </si>
  <si>
    <t>-----------------</t>
  </si>
  <si>
    <t>Balance</t>
  </si>
  <si>
    <t>Residential mortgages</t>
  </si>
  <si>
    <t>Real Estate</t>
  </si>
  <si>
    <t>Rates</t>
  </si>
  <si>
    <t>Unemployment</t>
  </si>
  <si>
    <t>Indirect and other consumer</t>
  </si>
  <si>
    <t>Commercial</t>
  </si>
  <si>
    <t xml:space="preserve">     Credit scores &lt; 700</t>
  </si>
  <si>
    <t xml:space="preserve">     Pass</t>
  </si>
  <si>
    <t xml:space="preserve">          C&amp;I</t>
  </si>
  <si>
    <t xml:space="preserve">          CRE</t>
  </si>
  <si>
    <t xml:space="preserve">          Term &gt; 60 months</t>
  </si>
  <si>
    <r>
      <t xml:space="preserve">     Credit scores </t>
    </r>
    <r>
      <rPr>
        <u/>
        <sz val="9"/>
        <rFont val="Arial"/>
        <family val="2"/>
      </rPr>
      <t>&gt;</t>
    </r>
    <r>
      <rPr>
        <sz val="9"/>
        <rFont val="Arial"/>
        <family val="2"/>
      </rPr>
      <t xml:space="preserve"> 700</t>
    </r>
  </si>
  <si>
    <r>
      <t xml:space="preserve">          Term </t>
    </r>
    <r>
      <rPr>
        <u/>
        <sz val="9"/>
        <rFont val="Arial"/>
        <family val="2"/>
      </rPr>
      <t>&lt;</t>
    </r>
    <r>
      <rPr>
        <sz val="9"/>
        <rFont val="Arial"/>
        <family val="2"/>
      </rPr>
      <t xml:space="preserve"> 60 months</t>
    </r>
  </si>
  <si>
    <t xml:space="preserve">   Jumbos</t>
  </si>
  <si>
    <t xml:space="preserve">   Small; &lt; $250,000</t>
  </si>
  <si>
    <t xml:space="preserve">               Non-owner occupied</t>
  </si>
  <si>
    <t xml:space="preserve">               Owner occupied</t>
  </si>
  <si>
    <t xml:space="preserve">   Middle- market</t>
  </si>
  <si>
    <t xml:space="preserve">               Term</t>
  </si>
  <si>
    <t xml:space="preserve">               Revolving line</t>
  </si>
  <si>
    <t xml:space="preserve">     Non-pass</t>
  </si>
  <si>
    <t xml:space="preserve">     Total loans evaluated on a pool basis</t>
  </si>
  <si>
    <t xml:space="preserve">          Geographical location A</t>
  </si>
  <si>
    <t xml:space="preserve">          Geographical location B</t>
  </si>
  <si>
    <t>Pool #</t>
  </si>
  <si>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</si>
  <si>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</si>
  <si>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</si>
  <si>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</si>
  <si>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</si>
  <si>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</si>
  <si>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</si>
  <si>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</si>
  <si>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</si>
  <si>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</si>
  <si>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3A</t>
  </si>
  <si>
    <t>3B</t>
  </si>
  <si>
    <t>3C</t>
  </si>
  <si>
    <t>3D</t>
  </si>
  <si>
    <t>3E</t>
  </si>
  <si>
    <t>3F</t>
  </si>
  <si>
    <t>3G</t>
  </si>
  <si>
    <t>3H</t>
  </si>
  <si>
    <t>Mix</t>
  </si>
  <si>
    <t>For each pool, reserve factors are calculated as follows:</t>
  </si>
  <si>
    <t>Unallocated component</t>
  </si>
  <si>
    <t>Collateral</t>
  </si>
  <si>
    <t>Expected Losses on Loan Pools</t>
  </si>
  <si>
    <t xml:space="preserve">       (two-year forecast)</t>
  </si>
  <si>
    <t>7 year cumulative loss</t>
  </si>
  <si>
    <t>Assumptions:</t>
  </si>
  <si>
    <t>--Historical lifetime loss rate are determined based on sum of all credit losses for similar pool</t>
  </si>
  <si>
    <t xml:space="preserve">--Management believes that the most recent 7 years is reasonable period to base loss expectation after  </t>
  </si>
  <si>
    <t xml:space="preserve">   considering the underwriting standards and contractual terms for loans that existed over the historical </t>
  </si>
  <si>
    <t>Pool 1C - open pool - cumulative loss rate approach</t>
  </si>
  <si>
    <t>Pool 1C - closed pool - vintage loss-rate approach</t>
  </si>
  <si>
    <t xml:space="preserve">Year </t>
  </si>
  <si>
    <t>Originated</t>
  </si>
  <si>
    <t>Year 1</t>
  </si>
  <si>
    <t>Year 2</t>
  </si>
  <si>
    <t>Year 3</t>
  </si>
  <si>
    <t>Year 4</t>
  </si>
  <si>
    <t xml:space="preserve">Year 5 </t>
  </si>
  <si>
    <t>Year 6</t>
  </si>
  <si>
    <t>Year 7</t>
  </si>
  <si>
    <t>Total Loss</t>
  </si>
  <si>
    <t>%</t>
  </si>
  <si>
    <t xml:space="preserve">Remaining </t>
  </si>
  <si>
    <t xml:space="preserve">                                                            Loss experience by year following origination</t>
  </si>
  <si>
    <r>
      <t xml:space="preserve">See </t>
    </r>
    <r>
      <rPr>
        <b/>
        <u/>
        <sz val="9"/>
        <rFont val="Arial"/>
        <family val="2"/>
      </rPr>
      <t>Exhibit A</t>
    </r>
    <r>
      <rPr>
        <sz val="9"/>
        <rFont val="Arial"/>
        <family val="2"/>
      </rPr>
      <t xml:space="preserve"> below</t>
    </r>
  </si>
  <si>
    <t>EXHIBIT A</t>
  </si>
  <si>
    <t>Expected Loss %</t>
  </si>
  <si>
    <t>Expected</t>
  </si>
  <si>
    <t>Losses</t>
  </si>
  <si>
    <t xml:space="preserve">Reflects adjustments to historical loss information for current conditions and </t>
  </si>
  <si>
    <t xml:space="preserve">--Loans are assigned a loss factor based on the point on the loss curve that correlates to the loans' ages, adjusted for </t>
  </si>
  <si>
    <t xml:space="preserve">   current conditions and reasonable and supportable forecasts</t>
  </si>
  <si>
    <t>--a "steady-state" assumption has been made; the pooling construct used to track history is commensurate</t>
  </si>
  <si>
    <t>--Loans are tracked by origination year (vintage)</t>
  </si>
  <si>
    <t xml:space="preserve">Historical </t>
  </si>
  <si>
    <t>Adjustments for current conditions</t>
  </si>
  <si>
    <t xml:space="preserve">                Forecasts</t>
  </si>
  <si>
    <t>reasonable and supportable forecasts (forecasts are for only two-years)</t>
  </si>
  <si>
    <t>Reserve $</t>
  </si>
  <si>
    <t>Mgt/Staff</t>
  </si>
  <si>
    <t xml:space="preserve">Historic Loss </t>
  </si>
  <si>
    <t xml:space="preserve">   with the credit risk factors of the current pool being assessed</t>
  </si>
  <si>
    <t>--The historical credit loss rate already factors in prepayment history, which it expects to remain unchanged</t>
  </si>
  <si>
    <t>Year</t>
  </si>
  <si>
    <r>
      <t xml:space="preserve">                 </t>
    </r>
    <r>
      <rPr>
        <u/>
        <sz val="11"/>
        <color theme="1"/>
        <rFont val="Calibri"/>
        <family val="2"/>
        <scheme val="minor"/>
      </rPr>
      <t>Year 1 Loss</t>
    </r>
    <r>
      <rPr>
        <sz val="11"/>
        <color theme="1"/>
        <rFont val="Calibri"/>
        <family val="2"/>
        <scheme val="minor"/>
      </rPr>
      <t xml:space="preserve"> (attributable to loans o/s at end of Year 1)</t>
    </r>
  </si>
  <si>
    <t>cumulative loss</t>
  </si>
  <si>
    <t>year 1 balance</t>
  </si>
  <si>
    <t>--Loans were originated over the last 7 years (not all same vintage)</t>
  </si>
  <si>
    <t xml:space="preserve">   period (7 years) in comparison with the current portfolio</t>
  </si>
  <si>
    <t>balance</t>
  </si>
  <si>
    <t xml:space="preserve">Originated </t>
  </si>
  <si>
    <t>Deliquencies,</t>
  </si>
  <si>
    <t>Non-performing,</t>
  </si>
  <si>
    <t>Expected losses on loans evaluated on individual basis</t>
  </si>
  <si>
    <t>Copyright © 2017 Baker Newman Noyes. All rights reserved.</t>
  </si>
  <si>
    <t>Copyright © 2020 Baker Newman Noyes.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</si>
</sst>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0000FF"/>
      <name val="Arial"/>
      <family val="2"/>
    </font>
    <font>
      <u/>
      <sz val="10"/>
      <color indexed="12"/>
      <name val="Arial"/>
      <family val="2"/>
    </font>
    <font>
      <sz val="9"/>
      <color rgb="FFFF0000"/>
      <name val="Arial"/>
      <family val="2"/>
    </font>
    <font>
      <b/>
      <u/>
      <sz val="9"/>
      <name val="Arial"/>
      <family val="2"/>
    </font>
    <font>
      <sz val="10"/>
      <color theme="1"/>
      <name val="Tahoma"/>
      <family val="2"/>
    </font>
    <font>
      <b/>
      <strike/>
      <sz val="9"/>
      <color rgb="FFFF0000"/>
      <name val="Arial"/>
      <family val="2"/>
    </font>
    <font>
      <b/>
      <strike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i/>
      <sz val="10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1" fillId="0" borderId="0"/>
    <xf numFmtId="0" fontId="3" fillId="0" borderId="0">
      <alignment vertical="top"/>
    </xf>
    <xf numFmtId="0" fontId="3" fillId="0" borderId="0">
      <alignment vertical="top"/>
    </xf>
    <xf numFmtId="43" fontId="1" fillId="0" borderId="0" applyFont="0" applyFill="0" applyBorder="0" applyAlignment="0" applyProtection="0"/>
    <xf numFmtId="0" fontId="3" fillId="0" borderId="0">
      <alignment vertical="top"/>
    </xf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3" applyFill="1"/>
    <xf numFmtId="0" fontId="3" fillId="0" borderId="0" xfId="3" applyFill="1" applyBorder="1"/>
    <xf numFmtId="43" fontId="0" fillId="0" borderId="0" xfId="4" applyFont="1" applyFill="1"/>
    <xf numFmtId="10" fontId="0" fillId="0" borderId="0" xfId="5" applyNumberFormat="1" applyFont="1" applyFill="1"/>
    <xf numFmtId="0" fontId="4" fillId="0" borderId="0" xfId="3" applyFont="1" applyFill="1" applyBorder="1"/>
    <xf numFmtId="0" fontId="4" fillId="0" borderId="0" xfId="3" applyFont="1" applyFill="1"/>
    <xf numFmtId="10" fontId="5" fillId="0" borderId="0" xfId="5" applyNumberFormat="1" applyFont="1" applyFill="1"/>
    <xf numFmtId="164" fontId="4" fillId="0" borderId="0" xfId="4" applyNumberFormat="1" applyFont="1"/>
    <xf numFmtId="0" fontId="4" fillId="0" borderId="0" xfId="3" applyFont="1"/>
    <xf numFmtId="0" fontId="6" fillId="0" borderId="0" xfId="3" applyFont="1" applyFill="1"/>
    <xf numFmtId="0" fontId="9" fillId="0" borderId="0" xfId="3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/>
    <xf numFmtId="0" fontId="6" fillId="0" borderId="0" xfId="3" applyFont="1" applyFill="1" applyBorder="1" applyAlignment="1">
      <alignment horizontal="left"/>
    </xf>
    <xf numFmtId="43" fontId="6" fillId="0" borderId="0" xfId="4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/>
    </xf>
    <xf numFmtId="0" fontId="6" fillId="0" borderId="0" xfId="3" applyFont="1" applyFill="1" applyBorder="1"/>
    <xf numFmtId="3" fontId="6" fillId="0" borderId="2" xfId="3" applyNumberFormat="1" applyFont="1" applyFill="1" applyBorder="1" applyAlignment="1">
      <alignment horizontal="right"/>
    </xf>
    <xf numFmtId="0" fontId="6" fillId="0" borderId="3" xfId="3" applyFont="1" applyFill="1" applyBorder="1"/>
    <xf numFmtId="0" fontId="4" fillId="0" borderId="0" xfId="3" applyFont="1" applyFill="1" applyBorder="1" applyAlignment="1">
      <alignment horizontal="left"/>
    </xf>
    <xf numFmtId="165" fontId="6" fillId="0" borderId="0" xfId="8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4" fillId="0" borderId="5" xfId="3" applyFont="1" applyFill="1" applyBorder="1"/>
    <xf numFmtId="10" fontId="4" fillId="0" borderId="0" xfId="5" applyNumberFormat="1" applyFont="1" applyFill="1" applyBorder="1" applyAlignment="1">
      <alignment horizontal="center"/>
    </xf>
    <xf numFmtId="0" fontId="6" fillId="0" borderId="5" xfId="3" applyFont="1" applyFill="1" applyBorder="1"/>
    <xf numFmtId="10" fontId="6" fillId="0" borderId="0" xfId="5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164" fontId="4" fillId="0" borderId="0" xfId="4" applyNumberFormat="1" applyFont="1" applyFill="1" applyBorder="1" applyAlignment="1">
      <alignment horizontal="right"/>
    </xf>
    <xf numFmtId="10" fontId="4" fillId="0" borderId="0" xfId="3" applyNumberFormat="1" applyFont="1" applyFill="1" applyBorder="1" applyAlignment="1">
      <alignment horizontal="center"/>
    </xf>
    <xf numFmtId="0" fontId="10" fillId="0" borderId="5" xfId="3" applyFont="1" applyFill="1" applyBorder="1"/>
    <xf numFmtId="0" fontId="4" fillId="0" borderId="0" xfId="3" applyFont="1" applyFill="1" applyBorder="1" applyAlignment="1">
      <alignment horizontal="centerContinuous"/>
    </xf>
    <xf numFmtId="0" fontId="12" fillId="0" borderId="0" xfId="3" applyFont="1" applyFill="1" applyBorder="1" applyAlignment="1">
      <alignment horizontal="right"/>
    </xf>
    <xf numFmtId="164" fontId="4" fillId="0" borderId="0" xfId="3" applyNumberFormat="1" applyFont="1" applyFill="1" applyBorder="1"/>
    <xf numFmtId="0" fontId="9" fillId="0" borderId="0" xfId="3" applyFont="1" applyFill="1" applyAlignment="1">
      <alignment horizontal="left"/>
    </xf>
    <xf numFmtId="0" fontId="7" fillId="0" borderId="0" xfId="3" applyFont="1" applyFill="1" applyBorder="1"/>
    <xf numFmtId="0" fontId="10" fillId="0" borderId="5" xfId="3" applyFont="1" applyFill="1" applyBorder="1" applyAlignment="1">
      <alignment horizontal="left"/>
    </xf>
    <xf numFmtId="10" fontId="4" fillId="0" borderId="0" xfId="5" applyNumberFormat="1" applyFont="1" applyFill="1" applyBorder="1" applyAlignment="1">
      <alignment horizontal="centerContinuous"/>
    </xf>
    <xf numFmtId="0" fontId="0" fillId="0" borderId="10" xfId="0" applyBorder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4" xfId="0" applyFont="1" applyBorder="1" applyAlignment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5" xfId="0" applyFont="1" applyBorder="1" applyAlignment="1"/>
    <xf numFmtId="164" fontId="4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4" fillId="0" borderId="0" xfId="1" quotePrefix="1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horizontal="right"/>
    </xf>
    <xf numFmtId="164" fontId="4" fillId="0" borderId="0" xfId="1" applyNumberFormat="1" applyFont="1" applyFill="1" applyBorder="1"/>
    <xf numFmtId="10" fontId="4" fillId="0" borderId="0" xfId="5" applyNumberFormat="1" applyFont="1" applyFill="1" applyBorder="1" applyAlignment="1">
      <alignment horizontal="left"/>
    </xf>
    <xf numFmtId="9" fontId="6" fillId="0" borderId="0" xfId="2" applyNumberFormat="1" applyFont="1" applyFill="1" applyBorder="1" applyAlignment="1">
      <alignment horizontal="right"/>
    </xf>
    <xf numFmtId="43" fontId="4" fillId="0" borderId="0" xfId="3" applyNumberFormat="1" applyFont="1" applyFill="1" applyBorder="1" applyAlignment="1">
      <alignment horizontal="left"/>
    </xf>
    <xf numFmtId="0" fontId="10" fillId="0" borderId="0" xfId="3" applyFont="1" applyFill="1"/>
    <xf numFmtId="0" fontId="10" fillId="0" borderId="6" xfId="3" applyFont="1" applyFill="1" applyBorder="1" applyAlignment="1">
      <alignment horizontal="left"/>
    </xf>
    <xf numFmtId="10" fontId="6" fillId="0" borderId="7" xfId="5" applyNumberFormat="1" applyFont="1" applyFill="1" applyBorder="1" applyAlignment="1">
      <alignment horizontal="center"/>
    </xf>
    <xf numFmtId="43" fontId="6" fillId="0" borderId="7" xfId="4" applyFont="1" applyFill="1" applyBorder="1" applyAlignment="1">
      <alignment horizontal="center" wrapText="1"/>
    </xf>
    <xf numFmtId="0" fontId="6" fillId="0" borderId="7" xfId="3" applyFont="1" applyFill="1" applyBorder="1" applyAlignment="1">
      <alignment horizontal="centerContinuous"/>
    </xf>
    <xf numFmtId="10" fontId="0" fillId="0" borderId="0" xfId="0" applyNumberFormat="1" applyBorder="1"/>
    <xf numFmtId="10" fontId="0" fillId="0" borderId="0" xfId="0" applyNumberFormat="1" applyFont="1" applyBorder="1"/>
    <xf numFmtId="10" fontId="0" fillId="0" borderId="3" xfId="0" applyNumberFormat="1" applyBorder="1"/>
    <xf numFmtId="10" fontId="0" fillId="0" borderId="1" xfId="0" applyNumberFormat="1" applyBorder="1"/>
    <xf numFmtId="0" fontId="14" fillId="0" borderId="8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4" fillId="0" borderId="8" xfId="0" applyFont="1" applyBorder="1" applyAlignment="1">
      <alignment horizontal="left"/>
    </xf>
    <xf numFmtId="10" fontId="0" fillId="0" borderId="12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2" fillId="0" borderId="0" xfId="0" applyNumberFormat="1" applyFont="1" applyBorder="1" applyAlignment="1">
      <alignment horizontal="left"/>
    </xf>
    <xf numFmtId="0" fontId="17" fillId="0" borderId="0" xfId="3" applyFont="1" applyFill="1" applyBorder="1" applyAlignment="1">
      <alignment horizontal="left"/>
    </xf>
    <xf numFmtId="10" fontId="4" fillId="2" borderId="11" xfId="5" applyNumberFormat="1" applyFont="1" applyFill="1" applyBorder="1" applyAlignment="1">
      <alignment horizontal="center"/>
    </xf>
    <xf numFmtId="0" fontId="4" fillId="2" borderId="11" xfId="3" applyFont="1" applyFill="1" applyBorder="1" applyAlignment="1">
      <alignment horizontal="center"/>
    </xf>
    <xf numFmtId="0" fontId="18" fillId="0" borderId="0" xfId="3" applyFont="1" applyFill="1"/>
    <xf numFmtId="10" fontId="2" fillId="0" borderId="0" xfId="5" applyNumberFormat="1" applyFont="1" applyFill="1" applyAlignment="1">
      <alignment horizontal="center"/>
    </xf>
    <xf numFmtId="43" fontId="2" fillId="0" borderId="0" xfId="4" applyFont="1" applyFill="1" applyAlignment="1">
      <alignment horizontal="center"/>
    </xf>
    <xf numFmtId="10" fontId="0" fillId="0" borderId="3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0" fontId="0" fillId="0" borderId="0" xfId="2" applyNumberFormat="1" applyFont="1" applyFill="1"/>
    <xf numFmtId="10" fontId="0" fillId="0" borderId="17" xfId="2" applyNumberFormat="1" applyFont="1" applyFill="1" applyBorder="1"/>
    <xf numFmtId="10" fontId="0" fillId="3" borderId="18" xfId="2" applyNumberFormat="1" applyFont="1" applyFill="1" applyBorder="1"/>
    <xf numFmtId="10" fontId="0" fillId="3" borderId="0" xfId="2" applyNumberFormat="1" applyFont="1" applyFill="1"/>
    <xf numFmtId="10" fontId="0" fillId="0" borderId="0" xfId="0" quotePrefix="1" applyNumberFormat="1" applyFont="1" applyBorder="1" applyAlignment="1">
      <alignment horizontal="left"/>
    </xf>
    <xf numFmtId="0" fontId="20" fillId="0" borderId="0" xfId="3" applyFont="1" applyFill="1" applyBorder="1" applyAlignment="1">
      <alignment horizontal="left"/>
    </xf>
    <xf numFmtId="0" fontId="21" fillId="0" borderId="0" xfId="3" applyFont="1" applyFill="1"/>
    <xf numFmtId="10" fontId="0" fillId="0" borderId="0" xfId="0" applyNumberFormat="1" applyFont="1" applyBorder="1" applyAlignment="1">
      <alignment horizontal="left"/>
    </xf>
    <xf numFmtId="164" fontId="0" fillId="0" borderId="0" xfId="1" applyNumberFormat="1" applyFont="1" applyBorder="1"/>
    <xf numFmtId="10" fontId="0" fillId="0" borderId="0" xfId="0" applyNumberFormat="1" applyFont="1" applyBorder="1" applyAlignment="1">
      <alignment horizontal="right"/>
    </xf>
    <xf numFmtId="0" fontId="22" fillId="0" borderId="0" xfId="3" applyFont="1" applyFill="1" applyAlignment="1">
      <alignment horizontal="center"/>
    </xf>
    <xf numFmtId="164" fontId="0" fillId="0" borderId="0" xfId="0" applyNumberFormat="1" applyFont="1" applyBorder="1"/>
    <xf numFmtId="0" fontId="21" fillId="0" borderId="0" xfId="3" applyFont="1" applyFill="1" applyBorder="1"/>
    <xf numFmtId="10" fontId="19" fillId="0" borderId="0" xfId="2" applyNumberFormat="1" applyFont="1" applyBorder="1"/>
    <xf numFmtId="10" fontId="21" fillId="0" borderId="0" xfId="2" applyNumberFormat="1" applyFont="1" applyFill="1"/>
    <xf numFmtId="0" fontId="23" fillId="0" borderId="0" xfId="3" applyFont="1" applyFill="1" applyBorder="1" applyAlignment="1">
      <alignment horizontal="center"/>
    </xf>
    <xf numFmtId="0" fontId="23" fillId="0" borderId="0" xfId="3" applyFont="1" applyFill="1"/>
    <xf numFmtId="0" fontId="21" fillId="0" borderId="0" xfId="3" quotePrefix="1" applyFont="1" applyFill="1"/>
    <xf numFmtId="0" fontId="23" fillId="0" borderId="0" xfId="3" applyFont="1" applyFill="1" applyAlignment="1">
      <alignment horizontal="center"/>
    </xf>
    <xf numFmtId="10" fontId="23" fillId="0" borderId="0" xfId="2" applyNumberFormat="1" applyFont="1" applyFill="1"/>
    <xf numFmtId="10" fontId="21" fillId="0" borderId="0" xfId="2" applyNumberFormat="1" applyFont="1" applyFill="1" applyAlignment="1">
      <alignment horizontal="center"/>
    </xf>
    <xf numFmtId="10" fontId="23" fillId="0" borderId="0" xfId="2" applyNumberFormat="1" applyFont="1" applyFill="1" applyAlignment="1">
      <alignment horizontal="center"/>
    </xf>
    <xf numFmtId="164" fontId="21" fillId="0" borderId="0" xfId="1" applyNumberFormat="1" applyFont="1" applyFill="1"/>
    <xf numFmtId="10" fontId="21" fillId="0" borderId="0" xfId="3" applyNumberFormat="1" applyFont="1" applyFill="1" applyBorder="1"/>
    <xf numFmtId="10" fontId="21" fillId="0" borderId="0" xfId="2" applyNumberFormat="1" applyFont="1" applyFill="1" applyBorder="1"/>
    <xf numFmtId="10" fontId="21" fillId="0" borderId="17" xfId="2" applyNumberFormat="1" applyFont="1" applyFill="1" applyBorder="1"/>
    <xf numFmtId="10" fontId="21" fillId="0" borderId="17" xfId="3" applyNumberFormat="1" applyFont="1" applyFill="1" applyBorder="1"/>
    <xf numFmtId="164" fontId="21" fillId="0" borderId="13" xfId="1" applyNumberFormat="1" applyFont="1" applyFill="1" applyBorder="1"/>
    <xf numFmtId="10" fontId="21" fillId="3" borderId="18" xfId="2" applyNumberFormat="1" applyFont="1" applyFill="1" applyBorder="1"/>
    <xf numFmtId="164" fontId="21" fillId="0" borderId="0" xfId="1" applyNumberFormat="1" applyFont="1" applyFill="1" applyBorder="1"/>
    <xf numFmtId="164" fontId="21" fillId="0" borderId="14" xfId="1" applyNumberFormat="1" applyFont="1" applyFill="1" applyBorder="1"/>
    <xf numFmtId="10" fontId="21" fillId="3" borderId="0" xfId="2" applyNumberFormat="1" applyFont="1" applyFill="1"/>
    <xf numFmtId="10" fontId="21" fillId="0" borderId="16" xfId="2" applyNumberFormat="1" applyFont="1" applyFill="1" applyBorder="1"/>
    <xf numFmtId="164" fontId="21" fillId="0" borderId="15" xfId="1" applyNumberFormat="1" applyFont="1" applyFill="1" applyBorder="1"/>
    <xf numFmtId="164" fontId="21" fillId="0" borderId="17" xfId="1" applyNumberFormat="1" applyFont="1" applyFill="1" applyBorder="1"/>
    <xf numFmtId="164" fontId="21" fillId="0" borderId="0" xfId="3" applyNumberFormat="1" applyFont="1" applyFill="1" applyBorder="1"/>
    <xf numFmtId="0" fontId="21" fillId="3" borderId="0" xfId="3" applyFont="1" applyFill="1"/>
    <xf numFmtId="0" fontId="21" fillId="0" borderId="0" xfId="3" applyFont="1" applyFill="1" applyBorder="1" applyAlignment="1">
      <alignment horizontal="right"/>
    </xf>
    <xf numFmtId="43" fontId="6" fillId="0" borderId="8" xfId="4" applyFont="1" applyFill="1" applyBorder="1" applyAlignment="1">
      <alignment horizontal="center" wrapText="1"/>
    </xf>
    <xf numFmtId="43" fontId="4" fillId="0" borderId="4" xfId="4" applyFont="1" applyFill="1" applyBorder="1" applyAlignment="1">
      <alignment horizontal="centerContinuous"/>
    </xf>
    <xf numFmtId="164" fontId="4" fillId="0" borderId="4" xfId="1" applyNumberFormat="1" applyFont="1" applyFill="1" applyBorder="1" applyAlignment="1">
      <alignment horizontal="right"/>
    </xf>
    <xf numFmtId="164" fontId="4" fillId="0" borderId="4" xfId="1" quotePrefix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/>
    </xf>
    <xf numFmtId="164" fontId="4" fillId="0" borderId="4" xfId="1" applyNumberFormat="1" applyFont="1" applyFill="1" applyBorder="1"/>
    <xf numFmtId="164" fontId="4" fillId="0" borderId="4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6" xfId="0" applyFont="1" applyBorder="1"/>
    <xf numFmtId="0" fontId="25" fillId="0" borderId="0" xfId="3" applyFont="1" applyFill="1"/>
    <xf numFmtId="10" fontId="6" fillId="0" borderId="0" xfId="2" applyNumberFormat="1" applyFont="1" applyFill="1" applyBorder="1" applyAlignment="1">
      <alignment horizontal="right"/>
    </xf>
    <xf numFmtId="43" fontId="0" fillId="0" borderId="0" xfId="1" applyFont="1" applyBorder="1"/>
    <xf numFmtId="0" fontId="21" fillId="0" borderId="0" xfId="3" applyFont="1" applyFill="1" applyAlignment="1">
      <alignment horizontal="center"/>
    </xf>
    <xf numFmtId="0" fontId="26" fillId="0" borderId="0" xfId="0" applyFont="1" applyAlignment="1">
      <alignment vertical="center"/>
    </xf>
    <xf numFmtId="0" fontId="16" fillId="0" borderId="5" xfId="3" applyFont="1" applyFill="1" applyBorder="1" applyAlignment="1">
      <alignment horizontal="center" wrapText="1"/>
    </xf>
    <xf numFmtId="0" fontId="16" fillId="0" borderId="0" xfId="3" applyFont="1" applyFill="1" applyBorder="1" applyAlignment="1">
      <alignment horizontal="center" wrapText="1"/>
    </xf>
  </cellXfs>
  <cellStyles count="19">
    <cellStyle name="Comma" xfId="1" builtinId="3"/>
    <cellStyle name="Comma 2" xfId="4"/>
    <cellStyle name="Comma 3" xfId="16"/>
    <cellStyle name="Comma 6" xfId="18"/>
    <cellStyle name="Currency 2" xfId="8"/>
    <cellStyle name="Hyperlink 2" xfId="7"/>
    <cellStyle name="Normal" xfId="0" builtinId="0"/>
    <cellStyle name="Normal 10" xfId="13"/>
    <cellStyle name="Normal 10 3" xfId="12"/>
    <cellStyle name="Normal 2" xfId="3"/>
    <cellStyle name="Normal 2 2" xfId="6"/>
    <cellStyle name="Normal 49" xfId="11"/>
    <cellStyle name="Normal 5 2" xfId="9"/>
    <cellStyle name="Normal 6 5" xfId="15"/>
    <cellStyle name="Normal 8 3" xfId="14"/>
    <cellStyle name="Normal 9" xfId="17"/>
    <cellStyle name="Percent" xfId="2" builtinId="5"/>
    <cellStyle name="Percent 2" xfId="5"/>
    <cellStyle name="Percent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512235</xdr:colOff>
      <xdr:row>11</xdr:row>
      <xdr:rowOff>67734</xdr:rowOff>
    </xdr:from>
    <xdr:to>
      <xdr:col>7</xdr:col>
      <xdr:colOff>702735</xdr:colOff>
      <xdr:row>18</xdr:row>
      <xdr:rowOff>135466</xdr:rowOff>
    </xdr:to>
    <xdr:sp macro="" textlink="">
      <xdr:nvSpPr>
        <xdr:cNvPr id="7" name="Flowchart: Process 6"/>
        <xdr:cNvSpPr/>
      </xdr:nvSpPr>
      <xdr:spPr>
        <a:xfrm>
          <a:off x="6491818" y="1761067"/>
          <a:ext cx="1979084" cy="1104899"/>
        </a:xfrm>
        <a:prstGeom prst="flowChartProcess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HISTORICAL</a:t>
          </a:r>
          <a:r>
            <a:rPr lang="en-US" sz="1400" b="1" baseline="0"/>
            <a:t> LOSS EXPERIENCE (ADJUSTED FOR DIFFERENCE IN LOAN ATTRIBUTES)</a:t>
          </a:r>
        </a:p>
        <a:p>
          <a:pPr algn="ctr"/>
          <a:endParaRPr lang="en-US" sz="1600" b="1"/>
        </a:p>
      </xdr:txBody>
    </xdr:sp>
    <xdr:clientData/>
  </xdr:twoCellAnchor>
  <xdr:twoCellAnchor>
    <xdr:from>
      <xdr:col>6</xdr:col>
      <xdr:colOff>298453</xdr:colOff>
      <xdr:row>19</xdr:row>
      <xdr:rowOff>76199</xdr:rowOff>
    </xdr:from>
    <xdr:to>
      <xdr:col>6</xdr:col>
      <xdr:colOff>823387</xdr:colOff>
      <xdr:row>22</xdr:row>
      <xdr:rowOff>25399</xdr:rowOff>
    </xdr:to>
    <xdr:sp macro="" textlink="">
      <xdr:nvSpPr>
        <xdr:cNvPr id="12" name="Plus 11"/>
        <xdr:cNvSpPr/>
      </xdr:nvSpPr>
      <xdr:spPr>
        <a:xfrm>
          <a:off x="7219953" y="2954866"/>
          <a:ext cx="524934" cy="393700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289982</xdr:colOff>
      <xdr:row>29</xdr:row>
      <xdr:rowOff>8465</xdr:rowOff>
    </xdr:from>
    <xdr:to>
      <xdr:col>6</xdr:col>
      <xdr:colOff>814918</xdr:colOff>
      <xdr:row>31</xdr:row>
      <xdr:rowOff>110065</xdr:rowOff>
    </xdr:to>
    <xdr:sp macro="" textlink="">
      <xdr:nvSpPr>
        <xdr:cNvPr id="13" name="Plus 12"/>
        <xdr:cNvSpPr/>
      </xdr:nvSpPr>
      <xdr:spPr>
        <a:xfrm>
          <a:off x="7211482" y="4368798"/>
          <a:ext cx="524936" cy="397934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322159</xdr:colOff>
      <xdr:row>38</xdr:row>
      <xdr:rowOff>127000</xdr:rowOff>
    </xdr:from>
    <xdr:to>
      <xdr:col>6</xdr:col>
      <xdr:colOff>806451</xdr:colOff>
      <xdr:row>41</xdr:row>
      <xdr:rowOff>67735</xdr:rowOff>
    </xdr:to>
    <xdr:sp macro="" textlink="">
      <xdr:nvSpPr>
        <xdr:cNvPr id="14" name="Equal 13"/>
        <xdr:cNvSpPr/>
      </xdr:nvSpPr>
      <xdr:spPr>
        <a:xfrm flipH="1">
          <a:off x="7243659" y="5820833"/>
          <a:ext cx="484292" cy="385235"/>
        </a:xfrm>
        <a:prstGeom prst="mathEqua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135468</xdr:colOff>
      <xdr:row>60</xdr:row>
      <xdr:rowOff>84667</xdr:rowOff>
    </xdr:from>
    <xdr:to>
      <xdr:col>11</xdr:col>
      <xdr:colOff>922867</xdr:colOff>
      <xdr:row>68</xdr:row>
      <xdr:rowOff>84667</xdr:rowOff>
    </xdr:to>
    <xdr:sp macro="" textlink="">
      <xdr:nvSpPr>
        <xdr:cNvPr id="4" name="TextBox 3"/>
        <xdr:cNvSpPr txBox="1"/>
      </xdr:nvSpPr>
      <xdr:spPr>
        <a:xfrm>
          <a:off x="10126135" y="9406467"/>
          <a:ext cx="2633132" cy="14901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u="none">
              <a:latin typeface="+mn-lt"/>
            </a:rPr>
            <a:t>Develop</a:t>
          </a:r>
          <a:r>
            <a:rPr lang="en-US" sz="1100" b="0" u="none" baseline="0">
              <a:latin typeface="+mn-lt"/>
            </a:rPr>
            <a:t> reasonable and supportable forecasts.  One way to translate the forecast to a reserve % is to account for </a:t>
          </a:r>
          <a:r>
            <a:rPr lang="en-US" sz="1100" b="0" u="sng" baseline="0">
              <a:latin typeface="+mn-lt"/>
            </a:rPr>
            <a:t>incremental</a:t>
          </a:r>
          <a:r>
            <a:rPr lang="en-US" sz="1100" u="none" baseline="0">
              <a:latin typeface="+mn-lt"/>
            </a:rPr>
            <a:t> increases based on knowledge of historical loss information during past years in which there were similar trends in real estate values and unemployment rates.</a:t>
          </a:r>
          <a:endParaRPr lang="en-US" sz="1100" u="sng">
            <a:latin typeface="+mn-lt"/>
          </a:endParaRPr>
        </a:p>
      </xdr:txBody>
    </xdr:sp>
    <xdr:clientData/>
  </xdr:twoCellAnchor>
  <xdr:twoCellAnchor>
    <xdr:from>
      <xdr:col>9</xdr:col>
      <xdr:colOff>385242</xdr:colOff>
      <xdr:row>59</xdr:row>
      <xdr:rowOff>93134</xdr:rowOff>
    </xdr:from>
    <xdr:to>
      <xdr:col>10</xdr:col>
      <xdr:colOff>618069</xdr:colOff>
      <xdr:row>60</xdr:row>
      <xdr:rowOff>0</xdr:rowOff>
    </xdr:to>
    <xdr:sp macro="" textlink="">
      <xdr:nvSpPr>
        <xdr:cNvPr id="5" name="Left Brace 4"/>
        <xdr:cNvSpPr/>
      </xdr:nvSpPr>
      <xdr:spPr>
        <a:xfrm rot="16200000">
          <a:off x="10644722" y="10763254"/>
          <a:ext cx="431800" cy="98636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668866</xdr:colOff>
      <xdr:row>80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0659533" y="113199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520701</xdr:colOff>
      <xdr:row>22</xdr:row>
      <xdr:rowOff>67735</xdr:rowOff>
    </xdr:from>
    <xdr:to>
      <xdr:col>7</xdr:col>
      <xdr:colOff>711201</xdr:colOff>
      <xdr:row>28</xdr:row>
      <xdr:rowOff>59267</xdr:rowOff>
    </xdr:to>
    <xdr:sp macro="" textlink="">
      <xdr:nvSpPr>
        <xdr:cNvPr id="19" name="Flowchart: Process 18"/>
        <xdr:cNvSpPr/>
      </xdr:nvSpPr>
      <xdr:spPr>
        <a:xfrm>
          <a:off x="6500284" y="3390902"/>
          <a:ext cx="1979084" cy="880532"/>
        </a:xfrm>
        <a:prstGeom prst="flowChartProcess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 baseline="0"/>
            <a:t>ADJUSTMENTS FOR CURRENT ECONOMIC CONDITIONS</a:t>
          </a:r>
        </a:p>
        <a:p>
          <a:pPr algn="ctr"/>
          <a:endParaRPr lang="en-US" sz="1600" b="1"/>
        </a:p>
      </xdr:txBody>
    </xdr:sp>
    <xdr:clientData/>
  </xdr:twoCellAnchor>
  <xdr:twoCellAnchor>
    <xdr:from>
      <xdr:col>5</xdr:col>
      <xdr:colOff>579968</xdr:colOff>
      <xdr:row>32</xdr:row>
      <xdr:rowOff>76202</xdr:rowOff>
    </xdr:from>
    <xdr:to>
      <xdr:col>7</xdr:col>
      <xdr:colOff>770468</xdr:colOff>
      <xdr:row>38</xdr:row>
      <xdr:rowOff>59267</xdr:rowOff>
    </xdr:to>
    <xdr:sp macro="" textlink="">
      <xdr:nvSpPr>
        <xdr:cNvPr id="20" name="Flowchart: Process 19"/>
        <xdr:cNvSpPr/>
      </xdr:nvSpPr>
      <xdr:spPr>
        <a:xfrm>
          <a:off x="6559551" y="4881035"/>
          <a:ext cx="1979084" cy="872065"/>
        </a:xfrm>
        <a:prstGeom prst="flowChartProcess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 baseline="0"/>
            <a:t>REASONABLE AND SUPPORTABLE FORECASTS</a:t>
          </a:r>
        </a:p>
        <a:p>
          <a:pPr algn="ctr"/>
          <a:endParaRPr lang="en-US" sz="1600" b="1"/>
        </a:p>
      </xdr:txBody>
    </xdr:sp>
    <xdr:clientData/>
  </xdr:twoCellAnchor>
  <xdr:twoCellAnchor>
    <xdr:from>
      <xdr:col>5</xdr:col>
      <xdr:colOff>571501</xdr:colOff>
      <xdr:row>42</xdr:row>
      <xdr:rowOff>25401</xdr:rowOff>
    </xdr:from>
    <xdr:to>
      <xdr:col>7</xdr:col>
      <xdr:colOff>762001</xdr:colOff>
      <xdr:row>47</xdr:row>
      <xdr:rowOff>135467</xdr:rowOff>
    </xdr:to>
    <xdr:sp macro="" textlink="">
      <xdr:nvSpPr>
        <xdr:cNvPr id="21" name="Flowchart: Process 20"/>
        <xdr:cNvSpPr/>
      </xdr:nvSpPr>
      <xdr:spPr>
        <a:xfrm>
          <a:off x="6551084" y="6311901"/>
          <a:ext cx="1979084" cy="850899"/>
        </a:xfrm>
        <a:prstGeom prst="flowChartProcess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 baseline="0"/>
            <a:t>ESTIMATE OF CURRENT EXPECTED CREDIT LOSSES UNDER CECL</a:t>
          </a:r>
        </a:p>
        <a:p>
          <a:pPr algn="ctr"/>
          <a:endParaRPr lang="en-US" sz="1600" b="1"/>
        </a:p>
      </xdr:txBody>
    </xdr:sp>
    <xdr:clientData/>
  </xdr:twoCellAnchor>
  <xdr:twoCellAnchor editAs="oneCell">
    <xdr:from>
      <xdr:col>6</xdr:col>
      <xdr:colOff>222252</xdr:colOff>
      <xdr:row>0</xdr:row>
      <xdr:rowOff>116417</xdr:rowOff>
    </xdr:from>
    <xdr:to>
      <xdr:col>7</xdr:col>
      <xdr:colOff>783167</xdr:colOff>
      <xdr:row>6</xdr:row>
      <xdr:rowOff>144810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2" y="116417"/>
          <a:ext cx="1407582" cy="917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showGridLines="0" tabSelected="1" zoomScale="90" zoomScaleNormal="90" workbookViewId="0">
      <selection activeCell="E49" sqref="E49"/>
    </sheetView>
  </sheetViews>
  <sheetFormatPr defaultColWidth="9.140625" defaultRowHeight="15" x14ac:dyDescent="0.25"/>
  <cols>
    <col min="1" max="1" width="28.42578125" style="1" customWidth="1"/>
    <col min="2" max="2" width="17.140625" style="1" customWidth="1"/>
    <col min="3" max="3" width="14.28515625" style="1" customWidth="1"/>
    <col min="4" max="4" width="15.42578125" style="1" customWidth="1"/>
    <col min="5" max="5" width="14.42578125" style="1" customWidth="1"/>
    <col min="6" max="6" width="14.140625" style="1" customWidth="1"/>
    <col min="7" max="7" width="12.7109375" style="4" customWidth="1"/>
    <col min="8" max="8" width="13.140625" style="3" customWidth="1"/>
    <col min="9" max="9" width="11" style="1" customWidth="1"/>
    <col min="10" max="10" width="12.28515625" style="2" customWidth="1"/>
    <col min="11" max="11" width="14.7109375" style="2" customWidth="1"/>
    <col min="12" max="12" width="13.7109375" style="2" customWidth="1"/>
    <col min="13" max="13" width="14.7109375" style="2" bestFit="1" customWidth="1"/>
    <col min="14" max="14" width="13.140625" style="2" customWidth="1"/>
    <col min="15" max="15" width="14" style="1" bestFit="1" customWidth="1"/>
    <col min="16" max="16" width="16" style="1" bestFit="1" customWidth="1"/>
    <col min="17" max="16384" width="9.140625" style="1"/>
  </cols>
  <sheetData>
    <row r="1" spans="1:14" s="6" customFormat="1" ht="12" x14ac:dyDescent="0.2">
      <c r="A1" s="69" t="s">
        <v>66</v>
      </c>
      <c r="B1" s="72" t="s">
        <v>43</v>
      </c>
      <c r="C1" s="71" t="s">
        <v>18</v>
      </c>
      <c r="D1" s="70" t="s">
        <v>16</v>
      </c>
      <c r="E1" s="131" t="s">
        <v>102</v>
      </c>
      <c r="F1" s="31"/>
      <c r="I1" s="26"/>
      <c r="J1" s="31"/>
      <c r="K1" s="31"/>
      <c r="L1" s="5"/>
      <c r="M1" s="5"/>
      <c r="N1" s="5"/>
    </row>
    <row r="2" spans="1:14" s="6" customFormat="1" ht="12" x14ac:dyDescent="0.2">
      <c r="A2" s="36"/>
      <c r="B2" s="31"/>
      <c r="C2" s="31"/>
      <c r="D2" s="37"/>
      <c r="E2" s="132"/>
      <c r="F2" s="31"/>
      <c r="H2" s="68"/>
      <c r="I2" s="68"/>
      <c r="J2" s="31"/>
      <c r="K2" s="31"/>
      <c r="L2" s="5"/>
      <c r="M2" s="5"/>
      <c r="N2" s="5"/>
    </row>
    <row r="3" spans="1:14" s="6" customFormat="1" ht="12" x14ac:dyDescent="0.2">
      <c r="A3" s="25" t="s">
        <v>19</v>
      </c>
      <c r="B3" s="22"/>
      <c r="C3" s="60"/>
      <c r="D3" s="24"/>
      <c r="E3" s="133"/>
      <c r="F3" s="20"/>
      <c r="J3" s="24"/>
      <c r="K3" s="24"/>
      <c r="L3" s="29"/>
      <c r="M3" s="28"/>
      <c r="N3" s="5"/>
    </row>
    <row r="4" spans="1:14" s="6" customFormat="1" ht="12" x14ac:dyDescent="0.2">
      <c r="A4" s="23" t="s">
        <v>32</v>
      </c>
      <c r="B4" s="22"/>
      <c r="C4" s="60"/>
      <c r="D4" s="24"/>
      <c r="E4" s="133"/>
      <c r="F4" s="20"/>
      <c r="H4" s="5"/>
      <c r="J4" s="24"/>
      <c r="K4" s="24"/>
      <c r="L4" s="29"/>
      <c r="M4" s="28"/>
      <c r="N4" s="5"/>
    </row>
    <row r="5" spans="1:14" s="6" customFormat="1" ht="12" x14ac:dyDescent="0.2">
      <c r="A5" s="23" t="s">
        <v>41</v>
      </c>
      <c r="B5" s="22" t="s">
        <v>44</v>
      </c>
      <c r="C5" s="60">
        <v>34237500</v>
      </c>
      <c r="D5" s="24">
        <v>1.4999999999999999E-2</v>
      </c>
      <c r="E5" s="133">
        <f>+C5*D5</f>
        <v>513562.5</v>
      </c>
      <c r="F5" s="67"/>
      <c r="H5" s="5"/>
      <c r="J5" s="24"/>
      <c r="K5" s="24"/>
      <c r="L5" s="29"/>
      <c r="M5" s="28"/>
      <c r="N5" s="5"/>
    </row>
    <row r="6" spans="1:14" s="6" customFormat="1" ht="12" x14ac:dyDescent="0.2">
      <c r="A6" s="23" t="s">
        <v>42</v>
      </c>
      <c r="B6" s="22" t="s">
        <v>45</v>
      </c>
      <c r="C6" s="60">
        <v>11413000</v>
      </c>
      <c r="D6" s="24">
        <v>1.4999999999999999E-2</v>
      </c>
      <c r="E6" s="133">
        <f>+C6*D6</f>
        <v>171195</v>
      </c>
      <c r="F6" s="20"/>
      <c r="H6" s="5"/>
      <c r="J6" s="24"/>
      <c r="K6" s="24"/>
      <c r="L6" s="29"/>
      <c r="M6" s="28"/>
      <c r="N6" s="5"/>
    </row>
    <row r="7" spans="1:14" s="6" customFormat="1" ht="12.75" thickBot="1" x14ac:dyDescent="0.25">
      <c r="A7" s="23" t="s">
        <v>36</v>
      </c>
      <c r="B7" s="22"/>
      <c r="C7" s="60"/>
      <c r="D7" s="24"/>
      <c r="E7" s="133"/>
      <c r="F7" s="20"/>
      <c r="H7" s="5"/>
      <c r="I7" s="10"/>
      <c r="J7" s="24"/>
      <c r="K7" s="24"/>
      <c r="L7" s="29"/>
      <c r="M7" s="28"/>
      <c r="N7" s="5"/>
    </row>
    <row r="8" spans="1:14" s="6" customFormat="1" ht="13.5" thickBot="1" x14ac:dyDescent="0.25">
      <c r="A8" s="23" t="s">
        <v>41</v>
      </c>
      <c r="B8" s="86" t="s">
        <v>46</v>
      </c>
      <c r="C8" s="60">
        <v>110542500</v>
      </c>
      <c r="D8" s="85">
        <f>+L59</f>
        <v>1.1224988388295401E-2</v>
      </c>
      <c r="E8" s="133">
        <f>+C8*D8</f>
        <v>1240838.2789131443</v>
      </c>
      <c r="F8" s="20" t="s">
        <v>88</v>
      </c>
      <c r="H8" s="146" t="s">
        <v>119</v>
      </c>
      <c r="J8" s="24"/>
      <c r="K8" s="24"/>
      <c r="L8" s="29"/>
      <c r="M8" s="28"/>
      <c r="N8" s="5"/>
    </row>
    <row r="9" spans="1:14" s="6" customFormat="1" ht="12" x14ac:dyDescent="0.2">
      <c r="A9" s="23" t="s">
        <v>42</v>
      </c>
      <c r="B9" s="22" t="s">
        <v>47</v>
      </c>
      <c r="C9" s="60">
        <v>19507500</v>
      </c>
      <c r="D9" s="24">
        <v>9.7000000000000003E-3</v>
      </c>
      <c r="E9" s="133">
        <f>+C9*D9</f>
        <v>189222.75</v>
      </c>
      <c r="F9" s="20"/>
      <c r="H9" s="64"/>
      <c r="I9" s="10"/>
      <c r="J9" s="24"/>
      <c r="K9" s="24"/>
      <c r="L9" s="29"/>
      <c r="M9" s="28"/>
      <c r="N9" s="5"/>
    </row>
    <row r="10" spans="1:14" s="6" customFormat="1" ht="15" customHeight="1" x14ac:dyDescent="0.2">
      <c r="A10" s="23" t="s">
        <v>33</v>
      </c>
      <c r="B10" s="22"/>
      <c r="C10" s="60"/>
      <c r="D10" s="24"/>
      <c r="E10" s="133"/>
      <c r="F10" s="147" t="s">
        <v>63</v>
      </c>
      <c r="G10" s="148"/>
      <c r="H10" s="148"/>
      <c r="J10" s="24"/>
      <c r="K10" s="24"/>
      <c r="L10" s="29"/>
      <c r="M10" s="28"/>
      <c r="N10" s="5"/>
    </row>
    <row r="11" spans="1:14" s="6" customFormat="1" ht="15" customHeight="1" x14ac:dyDescent="0.2">
      <c r="A11" s="23" t="s">
        <v>41</v>
      </c>
      <c r="B11" s="22" t="s">
        <v>48</v>
      </c>
      <c r="C11" s="60">
        <v>97835000</v>
      </c>
      <c r="D11" s="24">
        <v>1.0999999999999999E-2</v>
      </c>
      <c r="E11" s="133">
        <f>+C11*D11</f>
        <v>1076185</v>
      </c>
      <c r="F11" s="147"/>
      <c r="G11" s="148"/>
      <c r="H11" s="148"/>
      <c r="I11" s="10"/>
      <c r="J11" s="24"/>
      <c r="K11" s="24"/>
      <c r="L11" s="29"/>
      <c r="M11" s="28"/>
      <c r="N11" s="5"/>
    </row>
    <row r="12" spans="1:14" s="6" customFormat="1" ht="12" x14ac:dyDescent="0.2">
      <c r="A12" s="23" t="s">
        <v>42</v>
      </c>
      <c r="B12" s="22" t="s">
        <v>49</v>
      </c>
      <c r="C12" s="60">
        <v>17265000</v>
      </c>
      <c r="D12" s="24">
        <v>1.0500000000000001E-2</v>
      </c>
      <c r="E12" s="133">
        <f>+C12*D12</f>
        <v>181282.5</v>
      </c>
      <c r="F12" s="20"/>
      <c r="H12" s="64"/>
      <c r="I12" s="10"/>
      <c r="J12" s="24"/>
      <c r="K12" s="24"/>
      <c r="L12" s="29"/>
      <c r="M12" s="28"/>
      <c r="N12" s="5"/>
    </row>
    <row r="13" spans="1:14" s="6" customFormat="1" ht="12" x14ac:dyDescent="0.2">
      <c r="A13" s="23"/>
      <c r="B13" s="22"/>
      <c r="C13" s="60"/>
      <c r="D13" s="24"/>
      <c r="E13" s="133"/>
      <c r="F13" s="20"/>
      <c r="H13" s="5"/>
      <c r="I13" s="10"/>
      <c r="J13" s="24"/>
      <c r="K13" s="24"/>
      <c r="L13" s="29"/>
      <c r="M13" s="28"/>
      <c r="N13" s="5"/>
    </row>
    <row r="14" spans="1:14" s="6" customFormat="1" ht="12" x14ac:dyDescent="0.2">
      <c r="A14" s="25" t="s">
        <v>15</v>
      </c>
      <c r="B14" s="22"/>
      <c r="C14" s="60"/>
      <c r="D14" s="24"/>
      <c r="E14" s="133"/>
      <c r="F14" s="20"/>
      <c r="H14" s="64"/>
      <c r="I14" s="10"/>
      <c r="J14" s="24"/>
      <c r="K14" s="24"/>
      <c r="L14" s="29"/>
      <c r="M14" s="28"/>
      <c r="N14" s="5"/>
    </row>
    <row r="15" spans="1:14" s="6" customFormat="1" ht="12" x14ac:dyDescent="0.2">
      <c r="A15" s="23" t="s">
        <v>30</v>
      </c>
      <c r="B15" s="5"/>
      <c r="C15" s="60"/>
      <c r="D15" s="24"/>
      <c r="E15" s="133"/>
      <c r="F15" s="20"/>
      <c r="H15" s="64"/>
      <c r="J15" s="24"/>
      <c r="K15" s="24"/>
      <c r="L15" s="29"/>
      <c r="M15" s="28"/>
      <c r="N15" s="5"/>
    </row>
    <row r="16" spans="1:14" s="6" customFormat="1" ht="12" x14ac:dyDescent="0.2">
      <c r="A16" s="23" t="s">
        <v>29</v>
      </c>
      <c r="B16" s="22" t="s">
        <v>50</v>
      </c>
      <c r="C16" s="60">
        <v>12500000</v>
      </c>
      <c r="D16" s="24">
        <v>1.4999999999999999E-2</v>
      </c>
      <c r="E16" s="133">
        <f>+C16*D16</f>
        <v>187500</v>
      </c>
      <c r="F16" s="20"/>
      <c r="H16" s="64"/>
      <c r="I16" s="17"/>
      <c r="J16" s="24"/>
      <c r="K16" s="24"/>
      <c r="L16" s="29"/>
      <c r="M16" s="28"/>
      <c r="N16" s="5"/>
    </row>
    <row r="17" spans="1:14" s="6" customFormat="1" ht="12" x14ac:dyDescent="0.2">
      <c r="A17" s="23" t="s">
        <v>31</v>
      </c>
      <c r="B17" s="22" t="s">
        <v>51</v>
      </c>
      <c r="C17" s="60">
        <v>40125000</v>
      </c>
      <c r="D17" s="24">
        <v>0.01</v>
      </c>
      <c r="E17" s="133">
        <f>+C17*D17</f>
        <v>401250</v>
      </c>
      <c r="F17" s="20"/>
      <c r="H17" s="64"/>
      <c r="I17" s="65"/>
      <c r="J17" s="24"/>
      <c r="K17" s="24"/>
      <c r="L17" s="29"/>
      <c r="M17" s="28"/>
      <c r="N17" s="5"/>
    </row>
    <row r="18" spans="1:14" s="6" customFormat="1" ht="12" x14ac:dyDescent="0.2">
      <c r="A18" s="23" t="s">
        <v>25</v>
      </c>
      <c r="B18" s="22"/>
      <c r="C18" s="60"/>
      <c r="D18" s="24"/>
      <c r="E18" s="133"/>
      <c r="F18" s="20"/>
      <c r="H18" s="5"/>
      <c r="J18" s="24"/>
      <c r="K18" s="24"/>
      <c r="L18" s="29"/>
      <c r="M18" s="28"/>
      <c r="N18" s="5"/>
    </row>
    <row r="19" spans="1:14" s="6" customFormat="1" ht="12" x14ac:dyDescent="0.2">
      <c r="A19" s="23" t="s">
        <v>29</v>
      </c>
      <c r="B19" s="22" t="s">
        <v>52</v>
      </c>
      <c r="C19" s="60">
        <v>8500000</v>
      </c>
      <c r="D19" s="24">
        <v>0.04</v>
      </c>
      <c r="E19" s="133">
        <f>+C19*D19</f>
        <v>340000</v>
      </c>
      <c r="F19" s="20"/>
      <c r="H19" s="5"/>
      <c r="J19" s="24"/>
      <c r="K19" s="24"/>
      <c r="L19" s="29"/>
      <c r="M19" s="28"/>
      <c r="N19" s="5"/>
    </row>
    <row r="20" spans="1:14" s="6" customFormat="1" ht="12" x14ac:dyDescent="0.2">
      <c r="A20" s="23" t="s">
        <v>31</v>
      </c>
      <c r="B20" s="22" t="s">
        <v>53</v>
      </c>
      <c r="C20" s="60">
        <v>11150000</v>
      </c>
      <c r="D20" s="24">
        <v>2.2499999999999999E-2</v>
      </c>
      <c r="E20" s="133">
        <f>+C20*D20</f>
        <v>250875</v>
      </c>
      <c r="F20" s="20"/>
      <c r="H20" s="5"/>
      <c r="J20" s="24"/>
      <c r="K20" s="24"/>
      <c r="L20" s="29"/>
      <c r="M20" s="28"/>
      <c r="N20" s="5"/>
    </row>
    <row r="21" spans="1:14" s="6" customFormat="1" ht="12" x14ac:dyDescent="0.2">
      <c r="A21" s="23"/>
      <c r="B21" s="22"/>
      <c r="C21" s="60"/>
      <c r="D21" s="24"/>
      <c r="E21" s="133"/>
      <c r="F21" s="20"/>
      <c r="H21" s="5"/>
      <c r="J21" s="24"/>
      <c r="K21" s="24"/>
      <c r="L21" s="29"/>
      <c r="M21" s="28"/>
      <c r="N21" s="5"/>
    </row>
    <row r="22" spans="1:14" s="6" customFormat="1" ht="12" x14ac:dyDescent="0.2">
      <c r="A22" s="25" t="s">
        <v>24</v>
      </c>
      <c r="B22" s="22"/>
      <c r="C22" s="60"/>
      <c r="D22" s="24"/>
      <c r="E22" s="133"/>
      <c r="F22" s="20"/>
      <c r="H22" s="5"/>
      <c r="L22" s="29"/>
      <c r="M22" s="28"/>
      <c r="N22" s="5"/>
    </row>
    <row r="23" spans="1:14" s="6" customFormat="1" ht="12" x14ac:dyDescent="0.2">
      <c r="A23" s="23" t="s">
        <v>26</v>
      </c>
      <c r="B23" s="22"/>
      <c r="C23" s="60"/>
      <c r="D23" s="24"/>
      <c r="E23" s="133"/>
      <c r="F23" s="20"/>
      <c r="H23" s="5"/>
      <c r="L23" s="29"/>
      <c r="M23" s="28"/>
      <c r="N23" s="5"/>
    </row>
    <row r="24" spans="1:14" s="6" customFormat="1" ht="12" x14ac:dyDescent="0.2">
      <c r="A24" s="23" t="s">
        <v>27</v>
      </c>
      <c r="B24" s="22"/>
      <c r="C24" s="60"/>
      <c r="D24" s="24"/>
      <c r="E24" s="133"/>
      <c r="F24" s="20"/>
      <c r="H24" s="5"/>
      <c r="L24" s="29"/>
      <c r="M24" s="28"/>
      <c r="N24" s="5"/>
    </row>
    <row r="25" spans="1:14" s="6" customFormat="1" ht="12" x14ac:dyDescent="0.2">
      <c r="A25" s="23" t="s">
        <v>37</v>
      </c>
      <c r="B25" s="22" t="s">
        <v>54</v>
      </c>
      <c r="C25" s="60">
        <f>138500000-C26</f>
        <v>121800000</v>
      </c>
      <c r="D25" s="24">
        <v>2.0500000000000001E-2</v>
      </c>
      <c r="E25" s="133">
        <f>+C25*D25</f>
        <v>2496900</v>
      </c>
      <c r="F25" s="20"/>
      <c r="H25" s="5"/>
      <c r="L25" s="29"/>
      <c r="M25" s="28"/>
      <c r="N25" s="5"/>
    </row>
    <row r="26" spans="1:14" s="6" customFormat="1" ht="12" x14ac:dyDescent="0.2">
      <c r="A26" s="23" t="s">
        <v>38</v>
      </c>
      <c r="B26" s="22" t="s">
        <v>55</v>
      </c>
      <c r="C26" s="60">
        <v>16700000</v>
      </c>
      <c r="D26" s="24">
        <v>1.9900000000000001E-2</v>
      </c>
      <c r="E26" s="133">
        <f>+C26*D26</f>
        <v>332330</v>
      </c>
      <c r="F26" s="20"/>
      <c r="H26" s="5"/>
      <c r="L26" s="29"/>
      <c r="M26" s="28"/>
      <c r="N26" s="5"/>
    </row>
    <row r="27" spans="1:14" s="6" customFormat="1" ht="12" x14ac:dyDescent="0.2">
      <c r="A27" s="23" t="s">
        <v>28</v>
      </c>
      <c r="B27" s="22"/>
      <c r="C27" s="60"/>
      <c r="D27" s="24"/>
      <c r="E27" s="133"/>
      <c r="F27" s="20"/>
      <c r="H27" s="5"/>
      <c r="L27" s="29"/>
      <c r="M27" s="28"/>
      <c r="N27" s="5"/>
    </row>
    <row r="28" spans="1:14" s="6" customFormat="1" ht="12" x14ac:dyDescent="0.2">
      <c r="A28" s="23" t="s">
        <v>35</v>
      </c>
      <c r="B28" s="22" t="s">
        <v>56</v>
      </c>
      <c r="C28" s="60">
        <f>157873000-C29</f>
        <v>52098000</v>
      </c>
      <c r="D28" s="24">
        <v>1.11E-2</v>
      </c>
      <c r="E28" s="133">
        <f>+C28*D28</f>
        <v>578287.80000000005</v>
      </c>
      <c r="F28" s="20"/>
      <c r="H28" s="5"/>
      <c r="L28" s="29"/>
      <c r="M28" s="28"/>
      <c r="N28" s="5"/>
    </row>
    <row r="29" spans="1:14" s="6" customFormat="1" ht="12" x14ac:dyDescent="0.2">
      <c r="A29" s="23" t="s">
        <v>34</v>
      </c>
      <c r="B29" s="22" t="s">
        <v>57</v>
      </c>
      <c r="C29" s="60">
        <v>105775000</v>
      </c>
      <c r="D29" s="24">
        <v>1.18E-2</v>
      </c>
      <c r="E29" s="133">
        <f>+C29*D29</f>
        <v>1248145</v>
      </c>
      <c r="F29" s="20"/>
      <c r="H29" s="5"/>
      <c r="L29" s="29"/>
      <c r="M29" s="28"/>
      <c r="N29" s="5"/>
    </row>
    <row r="30" spans="1:14" s="6" customFormat="1" ht="12" x14ac:dyDescent="0.2">
      <c r="A30" s="23" t="s">
        <v>39</v>
      </c>
      <c r="B30" s="22"/>
      <c r="C30" s="60"/>
      <c r="D30" s="24"/>
      <c r="E30" s="133"/>
      <c r="F30" s="20"/>
      <c r="H30" s="5"/>
      <c r="L30" s="29"/>
      <c r="M30" s="28"/>
      <c r="N30" s="5"/>
    </row>
    <row r="31" spans="1:14" s="6" customFormat="1" ht="12" x14ac:dyDescent="0.2">
      <c r="A31" s="23" t="s">
        <v>27</v>
      </c>
      <c r="B31" s="22"/>
      <c r="C31" s="60"/>
      <c r="D31" s="24"/>
      <c r="E31" s="133"/>
      <c r="F31" s="20"/>
      <c r="H31" s="5"/>
      <c r="L31" s="29"/>
      <c r="M31" s="28"/>
      <c r="N31" s="5"/>
    </row>
    <row r="32" spans="1:14" s="6" customFormat="1" ht="12" x14ac:dyDescent="0.2">
      <c r="A32" s="23" t="s">
        <v>37</v>
      </c>
      <c r="B32" s="22" t="s">
        <v>58</v>
      </c>
      <c r="C32" s="60">
        <f>12000000*0.85</f>
        <v>10200000</v>
      </c>
      <c r="D32" s="24">
        <v>2.0299999999999999E-2</v>
      </c>
      <c r="E32" s="133">
        <f>+C32*D32</f>
        <v>207060</v>
      </c>
      <c r="F32" s="20"/>
      <c r="H32" s="5"/>
      <c r="L32" s="29"/>
      <c r="M32" s="28"/>
      <c r="N32" s="5"/>
    </row>
    <row r="33" spans="1:14" s="6" customFormat="1" ht="12" x14ac:dyDescent="0.2">
      <c r="A33" s="23" t="s">
        <v>38</v>
      </c>
      <c r="B33" s="22" t="s">
        <v>59</v>
      </c>
      <c r="C33" s="60">
        <v>1800000</v>
      </c>
      <c r="D33" s="24">
        <v>3.0200000000000001E-2</v>
      </c>
      <c r="E33" s="133">
        <f>+C33*D33</f>
        <v>54360</v>
      </c>
      <c r="F33" s="20"/>
      <c r="H33" s="5"/>
      <c r="L33" s="29"/>
      <c r="M33" s="28"/>
      <c r="N33" s="5"/>
    </row>
    <row r="34" spans="1:14" s="6" customFormat="1" ht="12" x14ac:dyDescent="0.2">
      <c r="A34" s="23" t="s">
        <v>28</v>
      </c>
      <c r="B34" s="22"/>
      <c r="C34" s="5"/>
      <c r="D34" s="5"/>
      <c r="E34" s="133"/>
      <c r="F34" s="20"/>
      <c r="H34" s="5"/>
      <c r="L34" s="29"/>
      <c r="M34" s="28"/>
      <c r="N34" s="5"/>
    </row>
    <row r="35" spans="1:14" s="6" customFormat="1" ht="12" x14ac:dyDescent="0.2">
      <c r="A35" s="23" t="s">
        <v>35</v>
      </c>
      <c r="B35" s="22" t="s">
        <v>60</v>
      </c>
      <c r="C35" s="60">
        <v>2850000</v>
      </c>
      <c r="D35" s="24">
        <v>1.0800000000000001E-2</v>
      </c>
      <c r="E35" s="133">
        <f>+C35*D35</f>
        <v>30780</v>
      </c>
      <c r="F35" s="20"/>
      <c r="H35" s="5"/>
      <c r="L35" s="29"/>
      <c r="M35" s="28"/>
      <c r="N35" s="5"/>
    </row>
    <row r="36" spans="1:14" s="6" customFormat="1" ht="12" x14ac:dyDescent="0.2">
      <c r="A36" s="23" t="s">
        <v>34</v>
      </c>
      <c r="B36" s="22" t="s">
        <v>61</v>
      </c>
      <c r="C36" s="60">
        <v>8650000</v>
      </c>
      <c r="D36" s="24">
        <v>1.2500000000000001E-2</v>
      </c>
      <c r="E36" s="133">
        <f>+C36*D36</f>
        <v>108125</v>
      </c>
      <c r="F36" s="20"/>
      <c r="H36" s="5"/>
      <c r="L36" s="29"/>
      <c r="M36" s="28"/>
      <c r="N36" s="5"/>
    </row>
    <row r="37" spans="1:14" s="6" customFormat="1" ht="12" x14ac:dyDescent="0.2">
      <c r="A37" s="23"/>
      <c r="B37" s="22"/>
      <c r="C37" s="62" t="s">
        <v>17</v>
      </c>
      <c r="D37" s="24"/>
      <c r="E37" s="134" t="s">
        <v>17</v>
      </c>
      <c r="F37" s="20"/>
      <c r="H37" s="5"/>
      <c r="L37" s="11"/>
      <c r="M37" s="33"/>
      <c r="N37" s="5"/>
    </row>
    <row r="38" spans="1:14" s="10" customFormat="1" ht="12" x14ac:dyDescent="0.2">
      <c r="A38" s="25" t="s">
        <v>40</v>
      </c>
      <c r="B38" s="27"/>
      <c r="C38" s="61">
        <f>SUM(C3:C37)</f>
        <v>682948500</v>
      </c>
      <c r="D38" s="26"/>
      <c r="E38" s="135">
        <f>SUM(E3:E37)</f>
        <v>9607898.8289131448</v>
      </c>
      <c r="F38" s="14"/>
      <c r="L38" s="27"/>
      <c r="M38" s="35"/>
      <c r="N38" s="17"/>
    </row>
    <row r="39" spans="1:14" s="6" customFormat="1" ht="12" x14ac:dyDescent="0.2">
      <c r="A39" s="23"/>
      <c r="B39" s="22"/>
      <c r="C39" s="60"/>
      <c r="D39" s="24"/>
      <c r="E39" s="133"/>
      <c r="F39" s="20"/>
      <c r="H39" s="5"/>
      <c r="L39" s="22"/>
      <c r="M39" s="5"/>
      <c r="N39" s="5"/>
    </row>
    <row r="40" spans="1:14" s="6" customFormat="1" ht="12" x14ac:dyDescent="0.2">
      <c r="A40" s="30" t="s">
        <v>117</v>
      </c>
      <c r="B40" s="21"/>
      <c r="C40" s="61"/>
      <c r="D40" s="5"/>
      <c r="E40" s="136"/>
      <c r="F40" s="5"/>
      <c r="H40" s="22"/>
    </row>
    <row r="41" spans="1:14" s="6" customFormat="1" ht="12" x14ac:dyDescent="0.2">
      <c r="A41" s="23" t="s">
        <v>19</v>
      </c>
      <c r="B41" s="22"/>
      <c r="C41" s="60">
        <v>1228000</v>
      </c>
      <c r="D41" s="12"/>
      <c r="E41" s="133">
        <v>67000</v>
      </c>
      <c r="F41" s="20"/>
      <c r="H41" s="22"/>
      <c r="L41" s="13"/>
      <c r="M41" s="34"/>
    </row>
    <row r="42" spans="1:14" s="6" customFormat="1" ht="12" x14ac:dyDescent="0.2">
      <c r="A42" s="23" t="s">
        <v>23</v>
      </c>
      <c r="B42" s="22"/>
      <c r="C42" s="60">
        <v>0</v>
      </c>
      <c r="D42" s="12"/>
      <c r="E42" s="133">
        <v>0</v>
      </c>
      <c r="F42" s="20"/>
      <c r="H42" s="22"/>
      <c r="L42" s="13"/>
    </row>
    <row r="43" spans="1:14" s="6" customFormat="1" ht="12" x14ac:dyDescent="0.2">
      <c r="A43" s="23" t="s">
        <v>24</v>
      </c>
      <c r="B43" s="22"/>
      <c r="C43" s="60">
        <v>6250000</v>
      </c>
      <c r="D43" s="12"/>
      <c r="E43" s="133">
        <v>150000</v>
      </c>
      <c r="F43" s="20"/>
      <c r="H43" s="22"/>
      <c r="L43" s="33"/>
    </row>
    <row r="44" spans="1:14" s="6" customFormat="1" ht="12" x14ac:dyDescent="0.2">
      <c r="A44" s="23"/>
      <c r="B44" s="22"/>
      <c r="C44" s="62" t="s">
        <v>17</v>
      </c>
      <c r="D44" s="24"/>
      <c r="E44" s="134" t="s">
        <v>17</v>
      </c>
      <c r="F44" s="20"/>
      <c r="H44" s="5"/>
      <c r="I44" s="65"/>
      <c r="J44" s="22"/>
      <c r="K44" s="22"/>
      <c r="L44" s="33"/>
    </row>
    <row r="45" spans="1:14" s="6" customFormat="1" ht="12" x14ac:dyDescent="0.2">
      <c r="A45" s="23"/>
      <c r="B45" s="32"/>
      <c r="C45" s="61">
        <f>SUM(C41:C44)</f>
        <v>7478000</v>
      </c>
      <c r="D45" s="21"/>
      <c r="E45" s="133">
        <f>SUM(E41:E44)</f>
        <v>217000</v>
      </c>
      <c r="F45" s="20"/>
      <c r="H45" s="5"/>
      <c r="I45" s="65"/>
      <c r="L45" s="33"/>
    </row>
    <row r="46" spans="1:14" s="6" customFormat="1" ht="12" x14ac:dyDescent="0.2">
      <c r="A46" s="23"/>
      <c r="B46" s="32"/>
      <c r="C46" s="61"/>
      <c r="D46" s="21"/>
      <c r="E46" s="133"/>
      <c r="F46" s="20"/>
      <c r="H46" s="5"/>
      <c r="I46" s="65"/>
      <c r="L46" s="33"/>
    </row>
    <row r="47" spans="1:14" s="6" customFormat="1" ht="12" x14ac:dyDescent="0.2">
      <c r="A47" s="25" t="s">
        <v>64</v>
      </c>
      <c r="B47" s="27"/>
      <c r="C47" s="60">
        <v>0</v>
      </c>
      <c r="D47" s="26"/>
      <c r="E47" s="137">
        <v>270000</v>
      </c>
      <c r="F47" s="20"/>
      <c r="H47" s="5"/>
      <c r="I47" s="65"/>
      <c r="L47" s="33"/>
    </row>
    <row r="48" spans="1:14" s="6" customFormat="1" ht="12" x14ac:dyDescent="0.2">
      <c r="A48" s="25"/>
      <c r="B48" s="16"/>
      <c r="C48" s="61"/>
      <c r="D48" s="16"/>
      <c r="E48" s="135"/>
      <c r="F48" s="5"/>
      <c r="H48" s="5"/>
      <c r="I48" s="65"/>
      <c r="L48" s="13"/>
    </row>
    <row r="49" spans="1:14" s="6" customFormat="1" ht="12.75" thickBot="1" x14ac:dyDescent="0.25">
      <c r="A49" s="19" t="s">
        <v>13</v>
      </c>
      <c r="B49" s="18"/>
      <c r="C49" s="63">
        <f>+C45+C38+C47</f>
        <v>690426500</v>
      </c>
      <c r="D49" s="18"/>
      <c r="E49" s="138">
        <f>+E45+E38+E47</f>
        <v>10094898.828913145</v>
      </c>
      <c r="F49" s="5"/>
      <c r="H49" s="5"/>
      <c r="I49" s="65"/>
    </row>
    <row r="50" spans="1:14" s="6" customFormat="1" ht="12" x14ac:dyDescent="0.2">
      <c r="B50" s="17"/>
      <c r="C50" s="16"/>
      <c r="D50" s="16"/>
      <c r="E50" s="143"/>
      <c r="F50" s="16"/>
      <c r="G50" s="66"/>
      <c r="H50" s="15"/>
      <c r="I50" s="5"/>
      <c r="J50" s="5"/>
      <c r="K50" s="20"/>
      <c r="L50" s="5"/>
      <c r="M50" s="5"/>
    </row>
    <row r="51" spans="1:14" ht="15.75" x14ac:dyDescent="0.25">
      <c r="A51" s="142" t="s">
        <v>89</v>
      </c>
      <c r="B51" s="9"/>
      <c r="C51" s="8"/>
      <c r="D51" s="6"/>
      <c r="E51" s="6"/>
      <c r="F51" s="6"/>
      <c r="G51" s="7"/>
      <c r="H51" s="146" t="s">
        <v>119</v>
      </c>
      <c r="J51" s="1"/>
      <c r="K51" s="1"/>
      <c r="L51" s="1"/>
      <c r="M51" s="1"/>
      <c r="N51" s="1"/>
    </row>
    <row r="52" spans="1:14" ht="12.75" x14ac:dyDescent="0.2">
      <c r="A52" s="87"/>
      <c r="B52" s="9"/>
      <c r="C52" s="8"/>
      <c r="D52" s="6"/>
      <c r="E52" s="6"/>
      <c r="F52" s="6"/>
      <c r="G52" s="7"/>
      <c r="H52" s="1"/>
      <c r="J52" s="1"/>
      <c r="K52" s="1"/>
      <c r="L52" s="1"/>
      <c r="M52" s="1"/>
      <c r="N52" s="1"/>
    </row>
    <row r="53" spans="1:14" ht="15.75" thickBot="1" x14ac:dyDescent="0.3">
      <c r="A53" s="84" t="s">
        <v>73</v>
      </c>
      <c r="B53" s="9"/>
      <c r="C53" s="8"/>
      <c r="D53" s="6"/>
      <c r="E53" s="6"/>
      <c r="F53" s="6"/>
      <c r="G53" s="7"/>
      <c r="H53" s="1"/>
      <c r="J53" s="1"/>
      <c r="K53" s="1"/>
      <c r="L53" s="1"/>
      <c r="M53" s="1"/>
      <c r="N53" s="1"/>
    </row>
    <row r="54" spans="1:14" ht="18.75" x14ac:dyDescent="0.3">
      <c r="A54" s="140" t="s">
        <v>98</v>
      </c>
      <c r="B54" s="42"/>
      <c r="C54" s="43"/>
      <c r="D54" s="43"/>
      <c r="E54" s="139" t="s">
        <v>99</v>
      </c>
      <c r="F54" s="43"/>
      <c r="G54" s="43"/>
      <c r="H54" s="43"/>
      <c r="I54" s="44"/>
      <c r="J54" s="141" t="s">
        <v>100</v>
      </c>
      <c r="K54" s="80"/>
      <c r="L54" s="77" t="s">
        <v>14</v>
      </c>
      <c r="M54" s="1"/>
      <c r="N54" s="1"/>
    </row>
    <row r="55" spans="1:14" x14ac:dyDescent="0.25">
      <c r="A55" s="38"/>
      <c r="B55" s="47" t="s">
        <v>115</v>
      </c>
      <c r="C55" s="45"/>
      <c r="D55" s="45"/>
      <c r="E55" s="45"/>
      <c r="F55" s="45"/>
      <c r="G55" s="45"/>
      <c r="H55" s="45"/>
      <c r="I55" s="46"/>
      <c r="J55" s="57" t="s">
        <v>67</v>
      </c>
      <c r="K55" s="78"/>
      <c r="L55" s="78"/>
      <c r="M55" s="1"/>
      <c r="N55" s="1"/>
    </row>
    <row r="56" spans="1:14" x14ac:dyDescent="0.25">
      <c r="A56" s="39" t="s">
        <v>104</v>
      </c>
      <c r="B56" s="47" t="s">
        <v>116</v>
      </c>
      <c r="C56" s="48" t="s">
        <v>1</v>
      </c>
      <c r="D56" s="48" t="s">
        <v>2</v>
      </c>
      <c r="E56" s="48" t="s">
        <v>103</v>
      </c>
      <c r="F56" s="48" t="s">
        <v>3</v>
      </c>
      <c r="G56" s="48" t="s">
        <v>65</v>
      </c>
      <c r="H56" s="48"/>
      <c r="I56" s="49" t="s">
        <v>4</v>
      </c>
      <c r="J56" s="58" t="s">
        <v>20</v>
      </c>
      <c r="K56" s="79" t="s">
        <v>22</v>
      </c>
      <c r="L56" s="79" t="s">
        <v>0</v>
      </c>
      <c r="M56" s="1"/>
      <c r="N56" s="1"/>
    </row>
    <row r="57" spans="1:14" x14ac:dyDescent="0.25">
      <c r="A57" s="40" t="s">
        <v>8</v>
      </c>
      <c r="B57" s="50" t="s">
        <v>5</v>
      </c>
      <c r="C57" s="51" t="s">
        <v>6</v>
      </c>
      <c r="D57" s="51" t="s">
        <v>7</v>
      </c>
      <c r="E57" s="51" t="s">
        <v>8</v>
      </c>
      <c r="F57" s="51" t="s">
        <v>9</v>
      </c>
      <c r="G57" s="51" t="s">
        <v>10</v>
      </c>
      <c r="H57" s="51" t="s">
        <v>62</v>
      </c>
      <c r="I57" s="52" t="s">
        <v>11</v>
      </c>
      <c r="J57" s="50" t="s">
        <v>10</v>
      </c>
      <c r="K57" s="52" t="s">
        <v>21</v>
      </c>
      <c r="L57" s="52" t="s">
        <v>12</v>
      </c>
      <c r="M57" s="1"/>
      <c r="N57" s="1"/>
    </row>
    <row r="58" spans="1:14" x14ac:dyDescent="0.25">
      <c r="A58" s="41"/>
      <c r="B58" s="53"/>
      <c r="C58" s="54"/>
      <c r="D58" s="54"/>
      <c r="E58" s="54"/>
      <c r="F58" s="54"/>
      <c r="G58" s="54"/>
      <c r="H58" s="55"/>
      <c r="I58" s="56"/>
      <c r="J58" s="59"/>
      <c r="K58" s="56"/>
      <c r="L58" s="56"/>
      <c r="M58" s="1"/>
      <c r="N58" s="1"/>
    </row>
    <row r="59" spans="1:14" ht="15.75" thickBot="1" x14ac:dyDescent="0.3">
      <c r="A59" s="81">
        <f>+C81</f>
        <v>7.9249883882954019E-3</v>
      </c>
      <c r="B59" s="90">
        <v>2.0000000000000001E-4</v>
      </c>
      <c r="C59" s="91">
        <v>0</v>
      </c>
      <c r="D59" s="91">
        <v>5.0000000000000001E-4</v>
      </c>
      <c r="E59" s="91">
        <v>0</v>
      </c>
      <c r="F59" s="91">
        <v>6.9999999999999999E-4</v>
      </c>
      <c r="G59" s="91">
        <v>4.0000000000000002E-4</v>
      </c>
      <c r="H59" s="91">
        <v>0</v>
      </c>
      <c r="I59" s="92">
        <v>0</v>
      </c>
      <c r="J59" s="75">
        <v>1E-3</v>
      </c>
      <c r="K59" s="76">
        <v>5.0000000000000001E-4</v>
      </c>
      <c r="L59" s="76">
        <f>SUM(A59:K59)</f>
        <v>1.1224988388295401E-2</v>
      </c>
      <c r="M59" s="1"/>
      <c r="N59" s="1"/>
    </row>
    <row r="60" spans="1:14" x14ac:dyDescent="0.25">
      <c r="A60" s="82"/>
      <c r="B60" s="74"/>
      <c r="C60" s="74"/>
      <c r="D60" s="74"/>
      <c r="E60" s="74"/>
      <c r="F60" s="74"/>
      <c r="G60" s="74"/>
      <c r="H60" s="74"/>
      <c r="I60" s="74"/>
      <c r="J60" s="73"/>
      <c r="K60" s="73"/>
      <c r="L60" s="73"/>
      <c r="M60" s="1"/>
      <c r="N60" s="1"/>
    </row>
    <row r="61" spans="1:14" s="99" customFormat="1" x14ac:dyDescent="0.25">
      <c r="A61" s="83" t="s">
        <v>69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</row>
    <row r="62" spans="1:14" s="99" customFormat="1" x14ac:dyDescent="0.25">
      <c r="A62" s="97" t="s">
        <v>96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</row>
    <row r="63" spans="1:14" s="99" customFormat="1" x14ac:dyDescent="0.25">
      <c r="A63" s="97" t="s">
        <v>105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1:14" s="99" customFormat="1" x14ac:dyDescent="0.25">
      <c r="A64" s="97" t="s">
        <v>111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</row>
    <row r="65" spans="1:14" s="99" customFormat="1" x14ac:dyDescent="0.25">
      <c r="A65" s="97" t="s">
        <v>71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</row>
    <row r="66" spans="1:14" s="99" customFormat="1" x14ac:dyDescent="0.25">
      <c r="A66" s="97" t="s">
        <v>72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</row>
    <row r="67" spans="1:14" s="99" customFormat="1" x14ac:dyDescent="0.25">
      <c r="A67" s="97" t="s">
        <v>112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</row>
    <row r="68" spans="1:14" s="99" customFormat="1" x14ac:dyDescent="0.25">
      <c r="A68" s="97" t="s">
        <v>70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s="99" customFormat="1" x14ac:dyDescent="0.25">
      <c r="A69" s="97" t="s">
        <v>106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s="99" customFormat="1" x14ac:dyDescent="0.25">
      <c r="A70" s="97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</row>
    <row r="71" spans="1:14" s="99" customFormat="1" x14ac:dyDescent="0.25">
      <c r="A71" s="111" t="s">
        <v>107</v>
      </c>
      <c r="B71" s="100" t="s">
        <v>108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</row>
    <row r="72" spans="1:14" s="99" customFormat="1" x14ac:dyDescent="0.25">
      <c r="A72" s="99">
        <v>1</v>
      </c>
      <c r="B72" s="101">
        <v>0</v>
      </c>
      <c r="C72" s="74"/>
      <c r="D72" s="74"/>
      <c r="E72" s="74"/>
      <c r="F72" s="74"/>
      <c r="G72" s="74"/>
      <c r="H72" s="74"/>
      <c r="I72" s="74"/>
      <c r="J72" s="74"/>
      <c r="K72" s="74"/>
      <c r="L72" s="144"/>
      <c r="M72" s="74"/>
    </row>
    <row r="73" spans="1:14" s="99" customFormat="1" x14ac:dyDescent="0.25">
      <c r="A73" s="99">
        <f>+A72+1</f>
        <v>2</v>
      </c>
      <c r="B73" s="101">
        <f>85000*1.5</f>
        <v>127500</v>
      </c>
      <c r="C73" s="74"/>
      <c r="D73" s="101"/>
      <c r="E73" s="74"/>
      <c r="F73" s="74"/>
      <c r="G73" s="74"/>
      <c r="H73" s="74"/>
      <c r="I73" s="74"/>
      <c r="J73" s="74"/>
      <c r="K73" s="74"/>
      <c r="L73" s="74"/>
      <c r="M73" s="74"/>
    </row>
    <row r="74" spans="1:14" s="99" customFormat="1" x14ac:dyDescent="0.25">
      <c r="A74" s="99">
        <f t="shared" ref="A74:A78" si="0">+A73+1</f>
        <v>3</v>
      </c>
      <c r="B74" s="101">
        <f>127000*1.5</f>
        <v>190500</v>
      </c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</row>
    <row r="75" spans="1:14" s="99" customFormat="1" x14ac:dyDescent="0.25">
      <c r="A75" s="99">
        <f t="shared" si="0"/>
        <v>4</v>
      </c>
      <c r="B75" s="101">
        <f>107000*1.5</f>
        <v>160500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</row>
    <row r="76" spans="1:14" s="99" customFormat="1" x14ac:dyDescent="0.25">
      <c r="A76" s="99">
        <f t="shared" si="0"/>
        <v>5</v>
      </c>
      <c r="B76" s="101">
        <f>71000*1.5</f>
        <v>106500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</row>
    <row r="77" spans="1:14" s="99" customFormat="1" x14ac:dyDescent="0.25">
      <c r="A77" s="99">
        <f t="shared" si="0"/>
        <v>6</v>
      </c>
      <c r="B77" s="101">
        <f>65000*1.5</f>
        <v>97500</v>
      </c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</row>
    <row r="78" spans="1:14" s="99" customFormat="1" x14ac:dyDescent="0.25">
      <c r="A78" s="99">
        <f t="shared" si="0"/>
        <v>7</v>
      </c>
      <c r="B78" s="101">
        <v>0</v>
      </c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</row>
    <row r="79" spans="1:14" s="99" customFormat="1" x14ac:dyDescent="0.25">
      <c r="B79" s="102" t="s">
        <v>109</v>
      </c>
      <c r="C79" s="101">
        <f>SUM(B72:B78)</f>
        <v>682500</v>
      </c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s="99" customFormat="1" x14ac:dyDescent="0.25">
      <c r="A80" s="103"/>
      <c r="B80" s="102" t="s">
        <v>110</v>
      </c>
      <c r="C80" s="104">
        <v>86120000</v>
      </c>
      <c r="E80" s="74"/>
      <c r="F80" s="74"/>
      <c r="G80" s="4"/>
      <c r="H80" s="3"/>
      <c r="J80" s="105"/>
      <c r="K80" s="105"/>
      <c r="L80" s="105"/>
      <c r="M80" s="105"/>
      <c r="N80" s="105"/>
    </row>
    <row r="81" spans="1:14" s="99" customFormat="1" x14ac:dyDescent="0.25">
      <c r="B81" s="102" t="s">
        <v>68</v>
      </c>
      <c r="C81" s="106">
        <f>+C79/C80</f>
        <v>7.9249883882954019E-3</v>
      </c>
      <c r="E81" s="74"/>
      <c r="F81" s="74"/>
      <c r="G81" s="107"/>
      <c r="H81" s="107"/>
      <c r="I81" s="107"/>
      <c r="J81" s="107"/>
      <c r="K81" s="107"/>
      <c r="L81" s="107"/>
      <c r="M81" s="107"/>
      <c r="N81" s="107"/>
    </row>
    <row r="82" spans="1:14" s="99" customFormat="1" x14ac:dyDescent="0.25">
      <c r="B82" s="102"/>
      <c r="C82" s="106"/>
      <c r="E82" s="74"/>
      <c r="F82" s="74"/>
      <c r="G82" s="107"/>
      <c r="H82" s="146" t="s">
        <v>118</v>
      </c>
      <c r="I82" s="107"/>
      <c r="J82" s="107"/>
      <c r="K82" s="107"/>
      <c r="L82" s="107"/>
      <c r="M82" s="107"/>
      <c r="N82" s="107"/>
    </row>
    <row r="83" spans="1:14" s="99" customFormat="1" x14ac:dyDescent="0.25">
      <c r="A83" s="98" t="s">
        <v>74</v>
      </c>
      <c r="B83" s="108"/>
      <c r="G83" s="107"/>
      <c r="H83" s="107"/>
      <c r="I83" s="107"/>
      <c r="J83" s="107"/>
      <c r="K83" s="107"/>
      <c r="L83" s="107"/>
      <c r="M83" s="107"/>
      <c r="N83" s="107"/>
    </row>
    <row r="84" spans="1:14" s="99" customFormat="1" x14ac:dyDescent="0.25">
      <c r="E84" s="107"/>
      <c r="F84" s="129"/>
      <c r="G84" s="99" t="s">
        <v>93</v>
      </c>
      <c r="H84" s="107"/>
      <c r="I84" s="107"/>
      <c r="J84" s="107"/>
      <c r="K84" s="107"/>
      <c r="L84" s="107"/>
      <c r="M84" s="107"/>
      <c r="N84" s="107"/>
    </row>
    <row r="85" spans="1:14" s="99" customFormat="1" x14ac:dyDescent="0.25">
      <c r="A85" s="109" t="s">
        <v>69</v>
      </c>
      <c r="E85" s="107"/>
      <c r="G85" s="99" t="s">
        <v>101</v>
      </c>
      <c r="I85" s="107"/>
      <c r="J85" s="107"/>
      <c r="K85" s="107"/>
      <c r="L85" s="107"/>
      <c r="M85" s="107"/>
      <c r="N85" s="107"/>
    </row>
    <row r="86" spans="1:14" s="99" customFormat="1" x14ac:dyDescent="0.25">
      <c r="A86" s="110" t="s">
        <v>97</v>
      </c>
      <c r="E86" s="107"/>
      <c r="F86" s="107"/>
      <c r="I86" s="107"/>
      <c r="J86" s="107"/>
      <c r="K86" s="107"/>
      <c r="L86" s="107"/>
      <c r="M86" s="107"/>
      <c r="N86" s="107"/>
    </row>
    <row r="87" spans="1:14" s="99" customFormat="1" x14ac:dyDescent="0.25">
      <c r="A87" s="110" t="s">
        <v>94</v>
      </c>
      <c r="E87" s="107"/>
      <c r="F87" s="107"/>
      <c r="G87" s="107"/>
      <c r="H87" s="107"/>
      <c r="I87" s="107"/>
      <c r="J87" s="107"/>
      <c r="K87" s="107"/>
      <c r="L87" s="107"/>
      <c r="M87" s="107"/>
      <c r="N87" s="107"/>
    </row>
    <row r="88" spans="1:14" s="99" customFormat="1" x14ac:dyDescent="0.25">
      <c r="A88" s="99" t="s">
        <v>95</v>
      </c>
      <c r="E88" s="107"/>
      <c r="F88" s="107"/>
      <c r="G88" s="107"/>
      <c r="H88" s="107"/>
      <c r="I88" s="107"/>
      <c r="J88" s="107"/>
      <c r="K88" s="107"/>
      <c r="L88" s="107"/>
      <c r="M88" s="107"/>
      <c r="N88" s="107"/>
    </row>
    <row r="89" spans="1:14" s="99" customFormat="1" x14ac:dyDescent="0.25">
      <c r="A89" s="97" t="s">
        <v>106</v>
      </c>
      <c r="E89" s="107"/>
      <c r="F89" s="107"/>
      <c r="G89" s="107"/>
      <c r="H89" s="107"/>
      <c r="I89" s="107"/>
      <c r="J89" s="107"/>
      <c r="K89" s="107"/>
      <c r="L89" s="107"/>
      <c r="M89" s="107"/>
      <c r="N89" s="107"/>
    </row>
    <row r="90" spans="1:14" s="99" customFormat="1" x14ac:dyDescent="0.25">
      <c r="E90" s="107"/>
      <c r="F90" s="107"/>
      <c r="G90" s="107"/>
      <c r="H90" s="107"/>
      <c r="I90" s="107"/>
      <c r="J90" s="107"/>
      <c r="K90" s="107"/>
      <c r="L90" s="107"/>
      <c r="M90" s="107"/>
      <c r="N90" s="107"/>
    </row>
    <row r="91" spans="1:14" s="99" customFormat="1" x14ac:dyDescent="0.25">
      <c r="A91" s="111" t="s">
        <v>75</v>
      </c>
      <c r="B91" s="145" t="s">
        <v>114</v>
      </c>
      <c r="C91" s="99" t="s">
        <v>87</v>
      </c>
      <c r="D91" s="109"/>
      <c r="E91" s="112"/>
      <c r="F91" s="112"/>
      <c r="G91" s="112"/>
      <c r="H91" s="112"/>
      <c r="I91" s="112"/>
      <c r="J91" s="113" t="s">
        <v>84</v>
      </c>
      <c r="K91" s="113" t="s">
        <v>86</v>
      </c>
      <c r="L91" s="113" t="s">
        <v>91</v>
      </c>
      <c r="M91" s="107"/>
      <c r="N91" s="107"/>
    </row>
    <row r="92" spans="1:14" s="99" customFormat="1" x14ac:dyDescent="0.25">
      <c r="A92" s="111" t="s">
        <v>76</v>
      </c>
      <c r="B92" s="111" t="s">
        <v>113</v>
      </c>
      <c r="C92" s="111" t="s">
        <v>77</v>
      </c>
      <c r="D92" s="111" t="s">
        <v>78</v>
      </c>
      <c r="E92" s="114" t="s">
        <v>79</v>
      </c>
      <c r="F92" s="114" t="s">
        <v>80</v>
      </c>
      <c r="G92" s="88" t="s">
        <v>81</v>
      </c>
      <c r="H92" s="89" t="s">
        <v>82</v>
      </c>
      <c r="I92" s="111" t="s">
        <v>83</v>
      </c>
      <c r="J92" s="108" t="s">
        <v>85</v>
      </c>
      <c r="K92" s="108" t="s">
        <v>90</v>
      </c>
      <c r="L92" s="108" t="s">
        <v>92</v>
      </c>
      <c r="M92" s="105"/>
      <c r="N92" s="105"/>
    </row>
    <row r="93" spans="1:14" s="99" customFormat="1" x14ac:dyDescent="0.25">
      <c r="A93" s="99">
        <f t="shared" ref="A93:A94" si="1">+A94-1</f>
        <v>2010</v>
      </c>
      <c r="B93" s="115">
        <v>14289000</v>
      </c>
      <c r="C93" s="107">
        <v>0</v>
      </c>
      <c r="D93" s="107">
        <v>2E-3</v>
      </c>
      <c r="E93" s="107">
        <v>2.5000000000000001E-3</v>
      </c>
      <c r="F93" s="107">
        <v>3.5000000000000001E-3</v>
      </c>
      <c r="G93" s="93">
        <v>1E-3</v>
      </c>
      <c r="H93" s="93">
        <v>0</v>
      </c>
      <c r="I93" s="107">
        <v>0</v>
      </c>
      <c r="J93" s="116">
        <f t="shared" ref="J93:J98" si="2">SUM(C93:I93)</f>
        <v>9.0000000000000011E-3</v>
      </c>
      <c r="K93" s="117">
        <v>0</v>
      </c>
      <c r="L93" s="116"/>
      <c r="M93" s="105"/>
      <c r="N93" s="105"/>
    </row>
    <row r="94" spans="1:14" s="99" customFormat="1" x14ac:dyDescent="0.25">
      <c r="A94" s="99">
        <f t="shared" si="1"/>
        <v>2011</v>
      </c>
      <c r="B94" s="115">
        <v>14693000</v>
      </c>
      <c r="C94" s="107">
        <v>0</v>
      </c>
      <c r="D94" s="107">
        <v>1.5E-3</v>
      </c>
      <c r="E94" s="107">
        <v>1.8E-3</v>
      </c>
      <c r="F94" s="107">
        <v>4.0000000000000001E-3</v>
      </c>
      <c r="G94" s="93">
        <v>1E-3</v>
      </c>
      <c r="H94" s="93">
        <v>0</v>
      </c>
      <c r="I94" s="107">
        <v>5.0000000000000001E-4</v>
      </c>
      <c r="J94" s="116">
        <f t="shared" si="2"/>
        <v>8.8000000000000005E-3</v>
      </c>
      <c r="K94" s="117">
        <v>0</v>
      </c>
      <c r="L94" s="116"/>
      <c r="M94" s="105"/>
      <c r="N94" s="105"/>
    </row>
    <row r="95" spans="1:14" s="99" customFormat="1" x14ac:dyDescent="0.25">
      <c r="A95" s="99">
        <f t="shared" ref="A95:A101" si="3">+A96-1</f>
        <v>2012</v>
      </c>
      <c r="B95" s="115">
        <v>16549000</v>
      </c>
      <c r="C95" s="107">
        <v>0</v>
      </c>
      <c r="D95" s="107">
        <v>2E-3</v>
      </c>
      <c r="E95" s="107">
        <v>2.5000000000000001E-3</v>
      </c>
      <c r="F95" s="107">
        <v>3.5000000000000001E-3</v>
      </c>
      <c r="G95" s="93">
        <v>1E-3</v>
      </c>
      <c r="H95" s="93">
        <v>1E-3</v>
      </c>
      <c r="I95" s="107">
        <v>0</v>
      </c>
      <c r="J95" s="116">
        <f t="shared" si="2"/>
        <v>1.0000000000000002E-2</v>
      </c>
      <c r="K95" s="117">
        <v>0</v>
      </c>
      <c r="L95" s="116"/>
      <c r="M95" s="105"/>
      <c r="N95" s="105"/>
    </row>
    <row r="96" spans="1:14" s="99" customFormat="1" x14ac:dyDescent="0.25">
      <c r="A96" s="99">
        <f t="shared" si="3"/>
        <v>2013</v>
      </c>
      <c r="B96" s="115">
        <v>17253000</v>
      </c>
      <c r="C96" s="107">
        <v>1E-4</v>
      </c>
      <c r="D96" s="107">
        <v>2E-3</v>
      </c>
      <c r="E96" s="107">
        <v>2.5000000000000001E-3</v>
      </c>
      <c r="F96" s="107">
        <v>3.5000000000000001E-3</v>
      </c>
      <c r="G96" s="93">
        <v>1.5E-3</v>
      </c>
      <c r="H96" s="93">
        <v>0</v>
      </c>
      <c r="I96" s="118">
        <v>0</v>
      </c>
      <c r="J96" s="119">
        <f t="shared" si="2"/>
        <v>9.5999999999999992E-3</v>
      </c>
      <c r="K96" s="118">
        <v>0</v>
      </c>
      <c r="L96" s="116"/>
      <c r="M96" s="105"/>
      <c r="N96" s="105"/>
    </row>
    <row r="97" spans="1:14" s="99" customFormat="1" x14ac:dyDescent="0.25">
      <c r="A97" s="99">
        <f t="shared" si="3"/>
        <v>2014</v>
      </c>
      <c r="B97" s="120">
        <v>19256000</v>
      </c>
      <c r="C97" s="107">
        <v>0</v>
      </c>
      <c r="D97" s="107">
        <v>1.9E-3</v>
      </c>
      <c r="E97" s="107">
        <v>2E-3</v>
      </c>
      <c r="F97" s="107">
        <v>3.5000000000000001E-3</v>
      </c>
      <c r="G97" s="93">
        <v>1.6000000000000001E-3</v>
      </c>
      <c r="H97" s="94">
        <v>1E-3</v>
      </c>
      <c r="I97" s="121">
        <v>2.5000000000000001E-4</v>
      </c>
      <c r="J97" s="116">
        <f t="shared" si="2"/>
        <v>1.0250000000000002E-2</v>
      </c>
      <c r="K97" s="116">
        <f>+I97</f>
        <v>2.5000000000000001E-4</v>
      </c>
      <c r="L97" s="122">
        <f>+K97*B97</f>
        <v>4814</v>
      </c>
      <c r="M97" s="105"/>
      <c r="N97" s="116"/>
    </row>
    <row r="98" spans="1:14" s="99" customFormat="1" x14ac:dyDescent="0.25">
      <c r="A98" s="99">
        <f t="shared" si="3"/>
        <v>2015</v>
      </c>
      <c r="B98" s="123">
        <v>22675000</v>
      </c>
      <c r="C98" s="107">
        <v>2.0000000000000001E-4</v>
      </c>
      <c r="D98" s="107">
        <v>1.5E-3</v>
      </c>
      <c r="E98" s="107">
        <v>2.0999999999999999E-3</v>
      </c>
      <c r="F98" s="107">
        <v>2.5000000000000001E-3</v>
      </c>
      <c r="G98" s="94">
        <v>1.5E-3</v>
      </c>
      <c r="H98" s="95">
        <v>1E-3</v>
      </c>
      <c r="I98" s="124">
        <v>2.5000000000000001E-4</v>
      </c>
      <c r="J98" s="116">
        <f t="shared" si="2"/>
        <v>9.049999999999999E-3</v>
      </c>
      <c r="K98" s="116">
        <f>+H98+I98</f>
        <v>1.25E-3</v>
      </c>
      <c r="L98" s="122">
        <f t="shared" ref="L98:L102" si="4">+K98*B98</f>
        <v>28343.75</v>
      </c>
      <c r="M98" s="105"/>
      <c r="N98" s="116"/>
    </row>
    <row r="99" spans="1:14" s="99" customFormat="1" x14ac:dyDescent="0.25">
      <c r="A99" s="99">
        <f t="shared" si="3"/>
        <v>2016</v>
      </c>
      <c r="B99" s="123">
        <v>23478500</v>
      </c>
      <c r="C99" s="107">
        <v>1E-3</v>
      </c>
      <c r="D99" s="107">
        <v>2E-3</v>
      </c>
      <c r="E99" s="107">
        <v>2E-3</v>
      </c>
      <c r="F99" s="118">
        <v>3.0000000000000001E-3</v>
      </c>
      <c r="G99" s="95">
        <v>2E-3</v>
      </c>
      <c r="H99" s="96">
        <v>1E-3</v>
      </c>
      <c r="I99" s="124">
        <v>2.5000000000000001E-4</v>
      </c>
      <c r="J99" s="116">
        <f t="shared" ref="J99:J102" si="5">SUM(C99:I99)</f>
        <v>1.125E-2</v>
      </c>
      <c r="K99" s="116">
        <f>+G99+H99+I99</f>
        <v>3.2500000000000003E-3</v>
      </c>
      <c r="L99" s="122">
        <f t="shared" si="4"/>
        <v>76305.125</v>
      </c>
      <c r="M99" s="105"/>
      <c r="N99" s="116"/>
    </row>
    <row r="100" spans="1:14" s="99" customFormat="1" x14ac:dyDescent="0.25">
      <c r="A100" s="99">
        <f t="shared" si="3"/>
        <v>2017</v>
      </c>
      <c r="B100" s="123">
        <v>22562000</v>
      </c>
      <c r="C100" s="107">
        <v>0</v>
      </c>
      <c r="D100" s="107">
        <v>2E-3</v>
      </c>
      <c r="E100" s="118">
        <v>3.0000000000000001E-3</v>
      </c>
      <c r="F100" s="121">
        <v>4.0000000000000001E-3</v>
      </c>
      <c r="G100" s="96">
        <v>2E-3</v>
      </c>
      <c r="H100" s="96">
        <v>1E-3</v>
      </c>
      <c r="I100" s="124">
        <v>2.5000000000000001E-4</v>
      </c>
      <c r="J100" s="116">
        <f t="shared" si="5"/>
        <v>1.225E-2</v>
      </c>
      <c r="K100" s="117">
        <f>+F100+G100+H100+I100</f>
        <v>7.2500000000000004E-3</v>
      </c>
      <c r="L100" s="122">
        <f t="shared" si="4"/>
        <v>163574.5</v>
      </c>
      <c r="M100" s="105"/>
      <c r="N100" s="116"/>
    </row>
    <row r="101" spans="1:14" s="99" customFormat="1" x14ac:dyDescent="0.25">
      <c r="A101" s="99">
        <f t="shared" si="3"/>
        <v>2018</v>
      </c>
      <c r="B101" s="123">
        <v>23423000</v>
      </c>
      <c r="C101" s="107">
        <v>0</v>
      </c>
      <c r="D101" s="118">
        <v>2E-3</v>
      </c>
      <c r="E101" s="121">
        <v>3.0000000000000001E-3</v>
      </c>
      <c r="F101" s="124">
        <v>4.0000000000000001E-3</v>
      </c>
      <c r="G101" s="96">
        <v>2E-3</v>
      </c>
      <c r="H101" s="96">
        <v>1E-3</v>
      </c>
      <c r="I101" s="124">
        <v>2.5000000000000001E-4</v>
      </c>
      <c r="J101" s="116">
        <f t="shared" si="5"/>
        <v>1.225E-2</v>
      </c>
      <c r="K101" s="116">
        <f>+E101+F101+G101+H101+I101</f>
        <v>1.0250000000000002E-2</v>
      </c>
      <c r="L101" s="122">
        <f t="shared" si="4"/>
        <v>240085.75000000006</v>
      </c>
      <c r="M101" s="105"/>
      <c r="N101" s="116"/>
    </row>
    <row r="102" spans="1:14" s="99" customFormat="1" x14ac:dyDescent="0.25">
      <c r="A102" s="99">
        <f>+A103-1</f>
        <v>2019</v>
      </c>
      <c r="B102" s="123">
        <f>27555550-3000000</f>
        <v>24555550</v>
      </c>
      <c r="C102" s="125">
        <v>0</v>
      </c>
      <c r="D102" s="121">
        <v>2.5000000000000001E-3</v>
      </c>
      <c r="E102" s="124">
        <v>3.0000000000000001E-3</v>
      </c>
      <c r="F102" s="124">
        <v>4.0000000000000001E-3</v>
      </c>
      <c r="G102" s="96">
        <v>2E-3</v>
      </c>
      <c r="H102" s="96">
        <v>1E-3</v>
      </c>
      <c r="I102" s="124">
        <v>2.5000000000000001E-4</v>
      </c>
      <c r="J102" s="116">
        <f t="shared" si="5"/>
        <v>1.2750000000000001E-2</v>
      </c>
      <c r="K102" s="116">
        <f>+E102+F102+G102+H102+I102+D102</f>
        <v>1.2750000000000003E-2</v>
      </c>
      <c r="L102" s="122">
        <f t="shared" si="4"/>
        <v>313083.26250000007</v>
      </c>
      <c r="M102" s="105"/>
      <c r="N102" s="116"/>
    </row>
    <row r="103" spans="1:14" s="99" customFormat="1" x14ac:dyDescent="0.25">
      <c r="A103" s="99">
        <v>2020</v>
      </c>
      <c r="B103" s="126">
        <f>32560000-10000000</f>
        <v>22560000</v>
      </c>
      <c r="C103" s="124">
        <v>2.0000000000000001E-4</v>
      </c>
      <c r="D103" s="124">
        <v>2.5000000000000001E-3</v>
      </c>
      <c r="E103" s="124">
        <v>3.0000000000000001E-3</v>
      </c>
      <c r="F103" s="124">
        <v>4.0000000000000001E-3</v>
      </c>
      <c r="G103" s="96">
        <v>2E-3</v>
      </c>
      <c r="H103" s="96">
        <v>1E-3</v>
      </c>
      <c r="I103" s="124">
        <v>2.5000000000000001E-4</v>
      </c>
      <c r="J103" s="116">
        <f>SUM(C103:I103)</f>
        <v>1.295E-2</v>
      </c>
      <c r="K103" s="116">
        <f>+E103+F103+G103+H103+I103+C103+D103</f>
        <v>1.2950000000000003E-2</v>
      </c>
      <c r="L103" s="127">
        <f>+K103*B103</f>
        <v>292152.00000000006</v>
      </c>
      <c r="M103" s="105"/>
      <c r="N103" s="116"/>
    </row>
    <row r="104" spans="1:14" s="99" customFormat="1" x14ac:dyDescent="0.25">
      <c r="B104" s="115"/>
      <c r="G104" s="4"/>
      <c r="H104" s="3"/>
      <c r="J104" s="105"/>
      <c r="K104" s="105"/>
      <c r="L104" s="128">
        <f>SUM(L97:L103)</f>
        <v>1118358.3875000002</v>
      </c>
      <c r="M104" s="105"/>
      <c r="N104" s="105"/>
    </row>
    <row r="105" spans="1:14" s="99" customFormat="1" x14ac:dyDescent="0.25">
      <c r="B105" s="115"/>
      <c r="G105" s="4"/>
      <c r="H105" s="3"/>
      <c r="J105" s="105"/>
      <c r="K105" s="130"/>
      <c r="L105" s="117"/>
      <c r="M105" s="105"/>
      <c r="N105" s="105"/>
    </row>
    <row r="106" spans="1:14" s="99" customFormat="1" x14ac:dyDescent="0.25">
      <c r="G106" s="4"/>
      <c r="H106" s="3"/>
      <c r="J106" s="105"/>
      <c r="K106" s="130"/>
      <c r="L106" s="117"/>
      <c r="M106" s="105"/>
      <c r="N106" s="105"/>
    </row>
    <row r="107" spans="1:14" s="99" customFormat="1" x14ac:dyDescent="0.25">
      <c r="G107" s="4"/>
      <c r="H107" s="3"/>
      <c r="J107" s="105"/>
      <c r="K107" s="105"/>
      <c r="L107" s="105"/>
      <c r="M107" s="105"/>
      <c r="N107" s="105"/>
    </row>
    <row r="108" spans="1:14" s="99" customFormat="1" x14ac:dyDescent="0.25">
      <c r="G108" s="4"/>
      <c r="H108" s="3"/>
      <c r="J108" s="105"/>
      <c r="K108" s="105"/>
      <c r="L108" s="105"/>
      <c r="M108" s="105"/>
      <c r="N108" s="105"/>
    </row>
    <row r="109" spans="1:14" s="99" customFormat="1" x14ac:dyDescent="0.25">
      <c r="G109" s="4"/>
      <c r="H109" s="3"/>
      <c r="J109" s="105"/>
      <c r="K109" s="105"/>
      <c r="L109" s="105"/>
      <c r="M109" s="105"/>
      <c r="N109" s="105"/>
    </row>
    <row r="110" spans="1:14" s="99" customFormat="1" x14ac:dyDescent="0.25">
      <c r="G110" s="4"/>
      <c r="H110" s="3"/>
      <c r="J110" s="105"/>
      <c r="K110" s="105"/>
      <c r="L110" s="105"/>
      <c r="M110" s="105"/>
      <c r="N110" s="105"/>
    </row>
    <row r="111" spans="1:14" s="99" customFormat="1" x14ac:dyDescent="0.25">
      <c r="G111" s="4"/>
      <c r="H111" s="3"/>
      <c r="J111" s="105"/>
      <c r="K111" s="105"/>
      <c r="L111" s="105"/>
      <c r="M111" s="105"/>
      <c r="N111" s="105"/>
    </row>
    <row r="112" spans="1:14" s="99" customFormat="1" x14ac:dyDescent="0.25">
      <c r="G112" s="4"/>
      <c r="H112" s="3"/>
      <c r="J112" s="105"/>
      <c r="K112" s="105"/>
      <c r="L112" s="105"/>
      <c r="M112" s="105"/>
      <c r="N112" s="105"/>
    </row>
    <row r="113" spans="7:14" s="99" customFormat="1" x14ac:dyDescent="0.25">
      <c r="G113" s="4"/>
      <c r="H113" s="3"/>
      <c r="J113" s="105"/>
      <c r="K113" s="105"/>
      <c r="L113" s="105"/>
      <c r="M113" s="105"/>
      <c r="N113" s="105"/>
    </row>
    <row r="114" spans="7:14" s="99" customFormat="1" x14ac:dyDescent="0.25">
      <c r="G114" s="4"/>
      <c r="H114" s="3"/>
      <c r="J114" s="105"/>
      <c r="K114" s="105"/>
      <c r="L114" s="105"/>
      <c r="M114" s="105"/>
      <c r="N114" s="105"/>
    </row>
    <row r="115" spans="7:14" s="99" customFormat="1" x14ac:dyDescent="0.25">
      <c r="G115" s="4"/>
      <c r="H115" s="3"/>
      <c r="J115" s="105"/>
      <c r="K115" s="105"/>
      <c r="L115" s="105"/>
      <c r="M115" s="105"/>
      <c r="N115" s="105"/>
    </row>
    <row r="116" spans="7:14" s="99" customFormat="1" x14ac:dyDescent="0.25">
      <c r="G116" s="4"/>
      <c r="H116" s="3"/>
      <c r="J116" s="105"/>
      <c r="K116" s="105"/>
      <c r="L116" s="105"/>
      <c r="M116" s="105"/>
      <c r="N116" s="105"/>
    </row>
  </sheetData>
  <mergeCells count="1">
    <mergeCell ref="F10:H11"/>
  </mergeCells>
  <pageMargins left="0.25" right="0.25" top="0.25" bottom="0.5" header="0.3" footer="0.3"/>
  <pageSetup scale="73" fitToHeight="0" orientation="landscape" r:id="rId1"/>
  <headerFooter scaleWithDoc="0" alignWithMargins="0"/>
  <rowBreaks count="2" manualBreakCount="2">
    <brk id="49" max="16383" man="1"/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 Calculation</vt:lpstr>
      <vt:lpstr>'Example Calculation'!Print_Area</vt:lpstr>
    </vt:vector>
  </TitlesOfParts>
  <Company>Skowhegan Savings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twood</dc:creator>
  <cp:lastModifiedBy>Alexandra Brophy</cp:lastModifiedBy>
  <cp:lastPrinted>2017-07-28T15:12:35Z</cp:lastPrinted>
  <dcterms:created xsi:type="dcterms:W3CDTF">2012-03-06T16:57:13Z</dcterms:created>
  <dcterms:modified xsi:type="dcterms:W3CDTF">2020-11-03T17:25:39Z</dcterms:modified>
</cp:coreProperties>
</file>